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<sst xmlns="http://schemas.openxmlformats.org/spreadsheetml/2006/main" count="177" uniqueCount="110">
  <si>
    <t>SAMRA EXPANSION PROJECT - Financial Model</t>
  </si>
  <si>
    <t>Assumptions</t>
  </si>
  <si>
    <t>Construction Period</t>
  </si>
  <si>
    <t>Years</t>
  </si>
  <si>
    <t>Capital Expenditure</t>
  </si>
  <si>
    <t xml:space="preserve">Payment Profile </t>
  </si>
  <si>
    <t>Total</t>
  </si>
  <si>
    <t xml:space="preserve">Zarqa PS Expansion </t>
  </si>
  <si>
    <t>MUSD</t>
  </si>
  <si>
    <t>New Pipeline from Zarqa to Samra</t>
  </si>
  <si>
    <t>Rehabilitation existing 1200</t>
  </si>
  <si>
    <t>Samra WWTP Expansion</t>
  </si>
  <si>
    <t>Project Management Costs</t>
  </si>
  <si>
    <t>Total CAPEX</t>
  </si>
  <si>
    <t>Financing</t>
  </si>
  <si>
    <t>Disbursement Profile</t>
  </si>
  <si>
    <t>Grant Amount</t>
  </si>
  <si>
    <t>Sponsors' Equity</t>
  </si>
  <si>
    <t>DSCR Margin</t>
  </si>
  <si>
    <t>Lending Interest Rate</t>
  </si>
  <si>
    <t>Loan Repayment Period</t>
  </si>
  <si>
    <t>years</t>
  </si>
  <si>
    <t>Loan Disbursement Profile</t>
  </si>
  <si>
    <t>Basic Senior Loan Amount</t>
  </si>
  <si>
    <t>Financial Interests during Construction</t>
  </si>
  <si>
    <t>Total Senior Loan Amount (including Construction Fin. Interests)</t>
  </si>
  <si>
    <t>Operation Period</t>
  </si>
  <si>
    <t>General Inflation</t>
  </si>
  <si>
    <t>Flow &amp; Load Profiles</t>
  </si>
  <si>
    <t>Flow Capacity for Expansion</t>
  </si>
  <si>
    <t>m3/day</t>
  </si>
  <si>
    <t>Load Capacity for Expansion</t>
  </si>
  <si>
    <t>KG BOD/day</t>
  </si>
  <si>
    <t>Fixed Operation Expenditure</t>
  </si>
  <si>
    <t>MUSD / Year</t>
  </si>
  <si>
    <t xml:space="preserve"> </t>
  </si>
  <si>
    <t xml:space="preserve">Variable Fees Unit Price (Q) </t>
  </si>
  <si>
    <t>Fils/m3</t>
  </si>
  <si>
    <t xml:space="preserve">Variable Fees Unit Price (BOD) </t>
  </si>
  <si>
    <t>Fils/KG DBO5</t>
  </si>
  <si>
    <t>Variable Operation Expenditure</t>
  </si>
  <si>
    <t>MUSD/Year</t>
  </si>
  <si>
    <t>O&amp;M Margin</t>
  </si>
  <si>
    <t>of OPEX</t>
  </si>
  <si>
    <t>Renewals % of CAPEX</t>
  </si>
  <si>
    <t>Renewals Profile</t>
  </si>
  <si>
    <t xml:space="preserve">Renewals </t>
  </si>
  <si>
    <t>Tax Rate</t>
  </si>
  <si>
    <t>Total Unit Price OPEX + Renewals (without Inflation)</t>
  </si>
  <si>
    <t>Fils / m3</t>
  </si>
  <si>
    <t>Key Financial Figures</t>
  </si>
  <si>
    <t>Total Project Cost (during Construction)</t>
  </si>
  <si>
    <t>Equity to Debt Ratio</t>
  </si>
  <si>
    <t>Average Debt Service Ratio</t>
  </si>
  <si>
    <t>Sponsors' IRR</t>
  </si>
  <si>
    <t>Payback Period</t>
  </si>
  <si>
    <t xml:space="preserve">Treatment Tariff </t>
  </si>
  <si>
    <t xml:space="preserve">Fils/m3 </t>
  </si>
  <si>
    <t>Lenders</t>
  </si>
  <si>
    <t>Sponsors</t>
  </si>
  <si>
    <t>Operation</t>
  </si>
  <si>
    <t xml:space="preserve">Total Figures (Operation Period) </t>
  </si>
  <si>
    <t>Treatment Charges</t>
  </si>
  <si>
    <t xml:space="preserve">Sponsors' Dividends </t>
  </si>
  <si>
    <t xml:space="preserve">Loan Repayments + Interests </t>
  </si>
  <si>
    <t>OPEX + Taxes</t>
  </si>
  <si>
    <t xml:space="preserve">Net Present Values Discount Rate (Operation Period)  </t>
  </si>
  <si>
    <t>NPV Treatment Charges</t>
  </si>
  <si>
    <t xml:space="preserve">NPV Sponsors' Dividends </t>
  </si>
  <si>
    <t xml:space="preserve">NPV Loan Repayments + Interests </t>
  </si>
  <si>
    <t>NPV OPEX + Taxes</t>
  </si>
  <si>
    <t>Year</t>
  </si>
  <si>
    <t>Grand</t>
  </si>
  <si>
    <t>Quarter</t>
  </si>
  <si>
    <t>CAPEX</t>
  </si>
  <si>
    <t>OPEX</t>
  </si>
  <si>
    <t>(MUSD)</t>
  </si>
  <si>
    <t>Cashflow Construction Phase</t>
  </si>
  <si>
    <t>Financial Uses (CAPEX)</t>
  </si>
  <si>
    <t>Financial Charges</t>
  </si>
  <si>
    <t>Financial Sources</t>
  </si>
  <si>
    <t>Grant (MWI/MCC)</t>
  </si>
  <si>
    <t>Equity (Sponsors)</t>
  </si>
  <si>
    <t>Senior Loan (Lenders)</t>
  </si>
  <si>
    <t>Cashflow Operation Phase</t>
  </si>
  <si>
    <t>Revenues</t>
  </si>
  <si>
    <t xml:space="preserve">Fix F (Cap)  </t>
  </si>
  <si>
    <t xml:space="preserve">Fix (Cap) </t>
  </si>
  <si>
    <t>Fix I (Cap)</t>
  </si>
  <si>
    <t>Fix R (Cap)</t>
  </si>
  <si>
    <t>Fix (Op)</t>
  </si>
  <si>
    <t>Var (Op)</t>
  </si>
  <si>
    <t>Expenses</t>
  </si>
  <si>
    <t>Senior Loan Repayment</t>
  </si>
  <si>
    <t>Senior Loan Interests</t>
  </si>
  <si>
    <t>Renewals</t>
  </si>
  <si>
    <t>Fixed OPEX</t>
  </si>
  <si>
    <t>Variable OPEX</t>
  </si>
  <si>
    <t>Dividends payable to shareholders</t>
  </si>
  <si>
    <t>Tax</t>
  </si>
  <si>
    <t>Balance</t>
  </si>
  <si>
    <t>Cashflow</t>
  </si>
  <si>
    <t>Cashflows Operation Period</t>
  </si>
  <si>
    <t>Cashflow 1 (after OPEX + Renewals)</t>
  </si>
  <si>
    <t>Cashflow 2 (after senior debt)</t>
  </si>
  <si>
    <t>Cashflow 3 (after taxes)</t>
  </si>
  <si>
    <t xml:space="preserve">Cashflow for Equity IRR </t>
  </si>
  <si>
    <t>Sponsors IRR after Tax</t>
  </si>
  <si>
    <t>DSCR Average</t>
  </si>
  <si>
    <t>Payback Period (years)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</si>
</sst>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_);\(#,##0.000\)"/>
    <numFmt numFmtId="166" formatCode="0.0"/>
    <numFmt numFmtId="167" formatCode="#,##0.00000"/>
    <numFmt numFmtId="168" formatCode="#,##0.00000_-;#,##0.00000\-"/>
    <numFmt numFmtId="169" formatCode="#,##0.0000_-;#,##0.0000\-"/>
    <numFmt numFmtId="170" formatCode="#,##0.00000_);\(#,##0.00000\)"/>
    <numFmt numFmtId="171" formatCode="#,##0.0_);\(#,##0.0\)"/>
    <numFmt numFmtId="172" formatCode="0.0%"/>
    <numFmt numFmtId="173" formatCode="#,##0.0"/>
    <numFmt numFmtId="174" formatCode="0_);[Red]\(0\)"/>
    <numFmt numFmtId="175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4"/>
      <name val="Times New Roman"/>
      <family val="1"/>
    </font>
    <font>
      <b/>
      <u val="single"/>
      <sz val="16"/>
      <name val="Century Gothic"/>
      <family val="2"/>
    </font>
    <font>
      <b/>
      <sz val="14"/>
      <name val="Century Gothic"/>
      <family val="2"/>
    </font>
    <font>
      <b/>
      <u val="single"/>
      <sz val="18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37" fontId="2" fillId="33" borderId="0" xfId="0" applyNumberFormat="1" applyFont="1" applyFill="1" applyBorder="1" applyAlignment="1">
      <alignment horizontal="left"/>
    </xf>
    <xf numFmtId="37" fontId="3" fillId="33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/>
    </xf>
    <xf numFmtId="37" fontId="3" fillId="33" borderId="0" xfId="0" applyNumberFormat="1" applyFont="1" applyFill="1" applyBorder="1" applyAlignment="1">
      <alignment horizontal="left"/>
    </xf>
    <xf numFmtId="37" fontId="4" fillId="33" borderId="0" xfId="0" applyNumberFormat="1" applyFont="1" applyFill="1" applyBorder="1" applyAlignment="1">
      <alignment horizontal="left"/>
    </xf>
    <xf numFmtId="37" fontId="5" fillId="33" borderId="0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9" fontId="6" fillId="33" borderId="0" xfId="57" applyFont="1" applyFill="1" applyBorder="1" applyAlignment="1">
      <alignment horizontal="right"/>
    </xf>
    <xf numFmtId="37" fontId="5" fillId="0" borderId="0" xfId="0" applyNumberFormat="1" applyFont="1" applyBorder="1" applyAlignment="1">
      <alignment/>
    </xf>
    <xf numFmtId="37" fontId="4" fillId="33" borderId="10" xfId="0" applyNumberFormat="1" applyFont="1" applyFill="1" applyBorder="1" applyAlignment="1">
      <alignment horizontal="left"/>
    </xf>
    <xf numFmtId="37" fontId="5" fillId="33" borderId="11" xfId="0" applyNumberFormat="1" applyFont="1" applyFill="1" applyBorder="1" applyAlignment="1">
      <alignment horizontal="right"/>
    </xf>
    <xf numFmtId="37" fontId="5" fillId="0" borderId="11" xfId="0" applyNumberFormat="1" applyFont="1" applyBorder="1" applyAlignment="1">
      <alignment horizontal="center"/>
    </xf>
    <xf numFmtId="9" fontId="6" fillId="33" borderId="11" xfId="57" applyFont="1" applyFill="1" applyBorder="1" applyAlignment="1">
      <alignment horizontal="right"/>
    </xf>
    <xf numFmtId="37" fontId="5" fillId="0" borderId="12" xfId="0" applyNumberFormat="1" applyFont="1" applyBorder="1" applyAlignment="1">
      <alignment/>
    </xf>
    <xf numFmtId="37" fontId="6" fillId="33" borderId="13" xfId="0" applyNumberFormat="1" applyFont="1" applyFill="1" applyBorder="1" applyAlignment="1">
      <alignment horizontal="left"/>
    </xf>
    <xf numFmtId="37" fontId="4" fillId="33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1" fontId="6" fillId="34" borderId="14" xfId="57" applyNumberFormat="1" applyFont="1" applyFill="1" applyBorder="1" applyAlignment="1">
      <alignment horizontal="center"/>
    </xf>
    <xf numFmtId="37" fontId="6" fillId="0" borderId="1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33" borderId="13" xfId="0" applyNumberFormat="1" applyFont="1" applyFill="1" applyBorder="1" applyAlignment="1">
      <alignment horizontal="left"/>
    </xf>
    <xf numFmtId="1" fontId="6" fillId="33" borderId="11" xfId="57" applyNumberFormat="1" applyFont="1" applyFill="1" applyBorder="1" applyAlignment="1">
      <alignment horizontal="right"/>
    </xf>
    <xf numFmtId="37" fontId="5" fillId="0" borderId="15" xfId="0" applyNumberFormat="1" applyFont="1" applyBorder="1" applyAlignment="1">
      <alignment/>
    </xf>
    <xf numFmtId="37" fontId="6" fillId="33" borderId="13" xfId="0" applyNumberFormat="1" applyFont="1" applyFill="1" applyBorder="1" applyAlignment="1">
      <alignment horizontal="left" indent="1"/>
    </xf>
    <xf numFmtId="9" fontId="6" fillId="33" borderId="16" xfId="57" applyFont="1" applyFill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37" fontId="5" fillId="33" borderId="17" xfId="0" applyNumberFormat="1" applyFont="1" applyFill="1" applyBorder="1" applyAlignment="1">
      <alignment horizontal="left" indent="2"/>
    </xf>
    <xf numFmtId="37" fontId="7" fillId="34" borderId="18" xfId="0" applyNumberFormat="1" applyFont="1" applyFill="1" applyBorder="1" applyAlignment="1">
      <alignment horizontal="right"/>
    </xf>
    <xf numFmtId="9" fontId="8" fillId="34" borderId="19" xfId="57" applyNumberFormat="1" applyFont="1" applyFill="1" applyBorder="1" applyAlignment="1">
      <alignment horizontal="center"/>
    </xf>
    <xf numFmtId="9" fontId="8" fillId="34" borderId="20" xfId="57" applyFont="1" applyFill="1" applyBorder="1" applyAlignment="1">
      <alignment horizontal="center"/>
    </xf>
    <xf numFmtId="9" fontId="8" fillId="34" borderId="21" xfId="57" applyFont="1" applyFill="1" applyBorder="1" applyAlignment="1">
      <alignment horizontal="center"/>
    </xf>
    <xf numFmtId="9" fontId="7" fillId="35" borderId="0" xfId="57" applyFont="1" applyFill="1" applyBorder="1" applyAlignment="1">
      <alignment horizontal="center"/>
    </xf>
    <xf numFmtId="37" fontId="7" fillId="34" borderId="22" xfId="0" applyNumberFormat="1" applyFont="1" applyFill="1" applyBorder="1" applyAlignment="1">
      <alignment horizontal="right"/>
    </xf>
    <xf numFmtId="37" fontId="7" fillId="34" borderId="23" xfId="0" applyNumberFormat="1" applyFont="1" applyFill="1" applyBorder="1" applyAlignment="1">
      <alignment horizontal="right"/>
    </xf>
    <xf numFmtId="37" fontId="7" fillId="33" borderId="13" xfId="0" applyNumberFormat="1" applyFont="1" applyFill="1" applyBorder="1" applyAlignment="1">
      <alignment horizontal="left" indent="2"/>
    </xf>
    <xf numFmtId="37" fontId="7" fillId="33" borderId="0" xfId="0" applyNumberFormat="1" applyFont="1" applyFill="1" applyBorder="1" applyAlignment="1">
      <alignment horizontal="right"/>
    </xf>
    <xf numFmtId="37" fontId="7" fillId="35" borderId="14" xfId="0" applyNumberFormat="1" applyFont="1" applyFill="1" applyBorder="1" applyAlignment="1">
      <alignment horizontal="right"/>
    </xf>
    <xf numFmtId="37" fontId="7" fillId="0" borderId="15" xfId="0" applyNumberFormat="1" applyFont="1" applyBorder="1" applyAlignment="1">
      <alignment/>
    </xf>
    <xf numFmtId="37" fontId="4" fillId="33" borderId="13" xfId="0" applyNumberFormat="1" applyFont="1" applyFill="1" applyBorder="1" applyAlignment="1">
      <alignment horizontal="left" indent="1"/>
    </xf>
    <xf numFmtId="37" fontId="4" fillId="33" borderId="13" xfId="0" applyNumberFormat="1" applyFont="1" applyFill="1" applyBorder="1" applyAlignment="1">
      <alignment horizontal="left" indent="2"/>
    </xf>
    <xf numFmtId="3" fontId="6" fillId="34" borderId="14" xfId="57" applyNumberFormat="1" applyFont="1" applyFill="1" applyBorder="1" applyAlignment="1">
      <alignment horizontal="right"/>
    </xf>
    <xf numFmtId="9" fontId="7" fillId="35" borderId="14" xfId="57" applyFont="1" applyFill="1" applyBorder="1" applyAlignment="1">
      <alignment horizontal="center"/>
    </xf>
    <xf numFmtId="3" fontId="6" fillId="34" borderId="24" xfId="57" applyNumberFormat="1" applyFont="1" applyFill="1" applyBorder="1" applyAlignment="1">
      <alignment horizontal="right"/>
    </xf>
    <xf numFmtId="9" fontId="5" fillId="34" borderId="19" xfId="57" applyFont="1" applyFill="1" applyBorder="1" applyAlignment="1">
      <alignment horizontal="center"/>
    </xf>
    <xf numFmtId="9" fontId="5" fillId="34" borderId="20" xfId="57" applyFont="1" applyFill="1" applyBorder="1" applyAlignment="1">
      <alignment horizontal="center"/>
    </xf>
    <xf numFmtId="9" fontId="5" fillId="34" borderId="21" xfId="57" applyFont="1" applyFill="1" applyBorder="1" applyAlignment="1">
      <alignment horizontal="center"/>
    </xf>
    <xf numFmtId="9" fontId="7" fillId="35" borderId="24" xfId="57" applyFont="1" applyFill="1" applyBorder="1" applyAlignment="1">
      <alignment horizontal="center"/>
    </xf>
    <xf numFmtId="9" fontId="6" fillId="34" borderId="24" xfId="57" applyFont="1" applyFill="1" applyBorder="1" applyAlignment="1">
      <alignment horizontal="right"/>
    </xf>
    <xf numFmtId="9" fontId="6" fillId="34" borderId="14" xfId="57" applyFont="1" applyFill="1" applyBorder="1" applyAlignment="1">
      <alignment horizontal="right"/>
    </xf>
    <xf numFmtId="37" fontId="6" fillId="34" borderId="14" xfId="0" applyNumberFormat="1" applyFont="1" applyFill="1" applyBorder="1" applyAlignment="1">
      <alignment horizontal="right"/>
    </xf>
    <xf numFmtId="4" fontId="6" fillId="34" borderId="24" xfId="57" applyNumberFormat="1" applyFont="1" applyFill="1" applyBorder="1" applyAlignment="1">
      <alignment horizontal="right"/>
    </xf>
    <xf numFmtId="164" fontId="6" fillId="35" borderId="24" xfId="57" applyNumberFormat="1" applyFont="1" applyFill="1" applyBorder="1" applyAlignment="1">
      <alignment horizontal="right"/>
    </xf>
    <xf numFmtId="165" fontId="5" fillId="35" borderId="19" xfId="0" applyNumberFormat="1" applyFont="1" applyFill="1" applyBorder="1" applyAlignment="1">
      <alignment horizontal="center"/>
    </xf>
    <xf numFmtId="165" fontId="5" fillId="35" borderId="20" xfId="0" applyNumberFormat="1" applyFont="1" applyFill="1" applyBorder="1" applyAlignment="1">
      <alignment horizontal="center"/>
    </xf>
    <xf numFmtId="165" fontId="5" fillId="35" borderId="21" xfId="0" applyNumberFormat="1" applyFont="1" applyFill="1" applyBorder="1" applyAlignment="1">
      <alignment horizontal="center"/>
    </xf>
    <xf numFmtId="165" fontId="7" fillId="35" borderId="24" xfId="0" applyNumberFormat="1" applyFont="1" applyFill="1" applyBorder="1" applyAlignment="1">
      <alignment horizontal="center"/>
    </xf>
    <xf numFmtId="37" fontId="6" fillId="33" borderId="13" xfId="0" applyNumberFormat="1" applyFont="1" applyFill="1" applyBorder="1" applyAlignment="1">
      <alignment horizontal="left" indent="2"/>
    </xf>
    <xf numFmtId="4" fontId="6" fillId="35" borderId="24" xfId="57" applyNumberFormat="1" applyFont="1" applyFill="1" applyBorder="1" applyAlignment="1">
      <alignment horizontal="right"/>
    </xf>
    <xf numFmtId="37" fontId="6" fillId="33" borderId="25" xfId="0" applyNumberFormat="1" applyFont="1" applyFill="1" applyBorder="1" applyAlignment="1">
      <alignment horizontal="left" indent="1"/>
    </xf>
    <xf numFmtId="37" fontId="5" fillId="33" borderId="16" xfId="0" applyNumberFormat="1" applyFont="1" applyFill="1" applyBorder="1" applyAlignment="1">
      <alignment horizontal="right"/>
    </xf>
    <xf numFmtId="37" fontId="5" fillId="0" borderId="16" xfId="0" applyNumberFormat="1" applyFont="1" applyBorder="1" applyAlignment="1">
      <alignment horizontal="center"/>
    </xf>
    <xf numFmtId="4" fontId="6" fillId="33" borderId="16" xfId="57" applyNumberFormat="1" applyFont="1" applyFill="1" applyBorder="1" applyAlignment="1">
      <alignment horizontal="right"/>
    </xf>
    <xf numFmtId="37" fontId="5" fillId="0" borderId="26" xfId="0" applyNumberFormat="1" applyFont="1" applyBorder="1" applyAlignment="1">
      <alignment/>
    </xf>
    <xf numFmtId="37" fontId="9" fillId="33" borderId="13" xfId="0" applyNumberFormat="1" applyFont="1" applyFill="1" applyBorder="1" applyAlignment="1">
      <alignment horizontal="left"/>
    </xf>
    <xf numFmtId="1" fontId="6" fillId="33" borderId="20" xfId="57" applyNumberFormat="1" applyFont="1" applyFill="1" applyBorder="1" applyAlignment="1">
      <alignment horizontal="right"/>
    </xf>
    <xf numFmtId="9" fontId="6" fillId="33" borderId="20" xfId="57" applyFont="1" applyFill="1" applyBorder="1" applyAlignment="1">
      <alignment horizontal="right"/>
    </xf>
    <xf numFmtId="9" fontId="5" fillId="35" borderId="14" xfId="57" applyFont="1" applyFill="1" applyBorder="1" applyAlignment="1">
      <alignment horizontal="center"/>
    </xf>
    <xf numFmtId="166" fontId="6" fillId="33" borderId="20" xfId="57" applyNumberFormat="1" applyFont="1" applyFill="1" applyBorder="1" applyAlignment="1">
      <alignment horizontal="right"/>
    </xf>
    <xf numFmtId="166" fontId="6" fillId="34" borderId="14" xfId="57" applyNumberFormat="1" applyFont="1" applyFill="1" applyBorder="1" applyAlignment="1">
      <alignment horizontal="right"/>
    </xf>
    <xf numFmtId="167" fontId="5" fillId="0" borderId="0" xfId="57" applyNumberFormat="1" applyFont="1" applyBorder="1" applyAlignment="1">
      <alignment/>
    </xf>
    <xf numFmtId="37" fontId="7" fillId="33" borderId="0" xfId="0" applyNumberFormat="1" applyFont="1" applyFill="1" applyBorder="1" applyAlignment="1">
      <alignment/>
    </xf>
    <xf numFmtId="9" fontId="7" fillId="33" borderId="0" xfId="57" applyFont="1" applyFill="1" applyBorder="1" applyAlignment="1">
      <alignment horizontal="center"/>
    </xf>
    <xf numFmtId="1" fontId="6" fillId="34" borderId="14" xfId="57" applyNumberFormat="1" applyFont="1" applyFill="1" applyBorder="1" applyAlignment="1">
      <alignment horizontal="right"/>
    </xf>
    <xf numFmtId="168" fontId="5" fillId="0" borderId="0" xfId="0" applyNumberFormat="1" applyFont="1" applyBorder="1" applyAlignment="1">
      <alignment/>
    </xf>
    <xf numFmtId="9" fontId="5" fillId="33" borderId="0" xfId="57" applyFont="1" applyFill="1" applyBorder="1" applyAlignment="1">
      <alignment horizontal="center"/>
    </xf>
    <xf numFmtId="9" fontId="5" fillId="0" borderId="0" xfId="57" applyFont="1" applyBorder="1" applyAlignment="1">
      <alignment/>
    </xf>
    <xf numFmtId="37" fontId="5" fillId="33" borderId="0" xfId="0" applyNumberFormat="1" applyFont="1" applyFill="1" applyBorder="1" applyAlignment="1">
      <alignment/>
    </xf>
    <xf numFmtId="166" fontId="6" fillId="35" borderId="14" xfId="57" applyNumberFormat="1" applyFont="1" applyFill="1" applyBorder="1" applyAlignment="1">
      <alignment horizontal="right"/>
    </xf>
    <xf numFmtId="166" fontId="6" fillId="35" borderId="19" xfId="57" applyNumberFormat="1" applyFont="1" applyFill="1" applyBorder="1" applyAlignment="1">
      <alignment horizontal="center"/>
    </xf>
    <xf numFmtId="166" fontId="6" fillId="35" borderId="20" xfId="57" applyNumberFormat="1" applyFont="1" applyFill="1" applyBorder="1" applyAlignment="1">
      <alignment horizontal="center"/>
    </xf>
    <xf numFmtId="166" fontId="6" fillId="35" borderId="21" xfId="57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37" fontId="10" fillId="0" borderId="17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10" fillId="0" borderId="15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37" fontId="3" fillId="33" borderId="0" xfId="0" applyNumberFormat="1" applyFont="1" applyFill="1" applyBorder="1" applyAlignment="1">
      <alignment/>
    </xf>
    <xf numFmtId="37" fontId="3" fillId="0" borderId="16" xfId="0" applyNumberFormat="1" applyFont="1" applyFill="1" applyBorder="1" applyAlignment="1">
      <alignment/>
    </xf>
    <xf numFmtId="37" fontId="10" fillId="0" borderId="17" xfId="0" applyNumberFormat="1" applyFont="1" applyBorder="1" applyAlignment="1">
      <alignment/>
    </xf>
    <xf numFmtId="9" fontId="6" fillId="35" borderId="14" xfId="57" applyNumberFormat="1" applyFont="1" applyFill="1" applyBorder="1" applyAlignment="1">
      <alignment horizontal="right"/>
    </xf>
    <xf numFmtId="37" fontId="3" fillId="0" borderId="15" xfId="0" applyNumberFormat="1" applyFont="1" applyBorder="1" applyAlignment="1">
      <alignment/>
    </xf>
    <xf numFmtId="9" fontId="4" fillId="35" borderId="14" xfId="57" applyFont="1" applyFill="1" applyBorder="1" applyAlignment="1">
      <alignment horizontal="center"/>
    </xf>
    <xf numFmtId="9" fontId="4" fillId="34" borderId="19" xfId="57" applyFont="1" applyFill="1" applyBorder="1" applyAlignment="1">
      <alignment horizontal="center"/>
    </xf>
    <xf numFmtId="9" fontId="4" fillId="34" borderId="20" xfId="57" applyFont="1" applyFill="1" applyBorder="1" applyAlignment="1">
      <alignment horizontal="center"/>
    </xf>
    <xf numFmtId="9" fontId="4" fillId="34" borderId="21" xfId="57" applyFont="1" applyFill="1" applyBorder="1" applyAlignment="1">
      <alignment horizontal="center"/>
    </xf>
    <xf numFmtId="37" fontId="6" fillId="0" borderId="17" xfId="0" applyNumberFormat="1" applyFont="1" applyBorder="1" applyAlignment="1">
      <alignment horizontal="left" indent="1"/>
    </xf>
    <xf numFmtId="37" fontId="6" fillId="0" borderId="17" xfId="0" applyNumberFormat="1" applyFont="1" applyBorder="1" applyAlignment="1">
      <alignment horizontal="right"/>
    </xf>
    <xf numFmtId="37" fontId="6" fillId="0" borderId="17" xfId="0" applyNumberFormat="1" applyFont="1" applyBorder="1" applyAlignment="1">
      <alignment horizontal="left" indent="2"/>
    </xf>
    <xf numFmtId="165" fontId="6" fillId="35" borderId="14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left"/>
    </xf>
    <xf numFmtId="170" fontId="6" fillId="33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165" fontId="6" fillId="35" borderId="14" xfId="0" applyNumberFormat="1" applyFont="1" applyFill="1" applyBorder="1" applyAlignment="1">
      <alignment horizontal="center"/>
    </xf>
    <xf numFmtId="171" fontId="6" fillId="35" borderId="19" xfId="0" applyNumberFormat="1" applyFont="1" applyFill="1" applyBorder="1" applyAlignment="1">
      <alignment horizontal="center"/>
    </xf>
    <xf numFmtId="171" fontId="6" fillId="35" borderId="20" xfId="0" applyNumberFormat="1" applyFont="1" applyFill="1" applyBorder="1" applyAlignment="1">
      <alignment horizontal="center"/>
    </xf>
    <xf numFmtId="171" fontId="6" fillId="35" borderId="21" xfId="0" applyNumberFormat="1" applyFont="1" applyFill="1" applyBorder="1" applyAlignment="1">
      <alignment horizontal="center"/>
    </xf>
    <xf numFmtId="37" fontId="6" fillId="0" borderId="13" xfId="0" applyNumberFormat="1" applyFont="1" applyBorder="1" applyAlignment="1">
      <alignment horizontal="left" indent="1"/>
    </xf>
    <xf numFmtId="37" fontId="6" fillId="0" borderId="0" xfId="0" applyNumberFormat="1" applyFont="1" applyBorder="1" applyAlignment="1">
      <alignment horizontal="left" indent="2"/>
    </xf>
    <xf numFmtId="165" fontId="6" fillId="33" borderId="2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center"/>
    </xf>
    <xf numFmtId="3" fontId="6" fillId="35" borderId="14" xfId="57" applyNumberFormat="1" applyFont="1" applyFill="1" applyBorder="1" applyAlignment="1">
      <alignment horizontal="right"/>
    </xf>
    <xf numFmtId="37" fontId="4" fillId="33" borderId="25" xfId="0" applyNumberFormat="1" applyFont="1" applyFill="1" applyBorder="1" applyAlignment="1">
      <alignment horizontal="left"/>
    </xf>
    <xf numFmtId="37" fontId="5" fillId="33" borderId="26" xfId="0" applyNumberFormat="1" applyFont="1" applyFill="1" applyBorder="1" applyAlignment="1">
      <alignment/>
    </xf>
    <xf numFmtId="37" fontId="5" fillId="33" borderId="12" xfId="0" applyNumberFormat="1" applyFont="1" applyFill="1" applyBorder="1" applyAlignment="1">
      <alignment/>
    </xf>
    <xf numFmtId="37" fontId="11" fillId="33" borderId="13" xfId="0" applyNumberFormat="1" applyFont="1" applyFill="1" applyBorder="1" applyAlignment="1">
      <alignment horizontal="left"/>
    </xf>
    <xf numFmtId="37" fontId="12" fillId="33" borderId="0" xfId="0" applyNumberFormat="1" applyFont="1" applyFill="1" applyBorder="1" applyAlignment="1">
      <alignment horizontal="right"/>
    </xf>
    <xf numFmtId="37" fontId="12" fillId="0" borderId="0" xfId="0" applyNumberFormat="1" applyFont="1" applyBorder="1" applyAlignment="1">
      <alignment horizontal="center"/>
    </xf>
    <xf numFmtId="9" fontId="13" fillId="33" borderId="0" xfId="57" applyFont="1" applyFill="1" applyBorder="1" applyAlignment="1">
      <alignment horizontal="right"/>
    </xf>
    <xf numFmtId="37" fontId="12" fillId="33" borderId="15" xfId="0" applyNumberFormat="1" applyFont="1" applyFill="1" applyBorder="1" applyAlignment="1">
      <alignment/>
    </xf>
    <xf numFmtId="37" fontId="12" fillId="33" borderId="0" xfId="0" applyNumberFormat="1" applyFont="1" applyFill="1" applyBorder="1" applyAlignment="1">
      <alignment/>
    </xf>
    <xf numFmtId="37" fontId="12" fillId="0" borderId="0" xfId="0" applyNumberFormat="1" applyFont="1" applyBorder="1" applyAlignment="1">
      <alignment/>
    </xf>
    <xf numFmtId="37" fontId="14" fillId="33" borderId="13" xfId="0" applyNumberFormat="1" applyFont="1" applyFill="1" applyBorder="1" applyAlignment="1">
      <alignment horizontal="left"/>
    </xf>
    <xf numFmtId="37" fontId="15" fillId="33" borderId="0" xfId="0" applyNumberFormat="1" applyFont="1" applyFill="1" applyBorder="1" applyAlignment="1">
      <alignment horizontal="right"/>
    </xf>
    <xf numFmtId="37" fontId="15" fillId="0" borderId="0" xfId="0" applyNumberFormat="1" applyFont="1" applyBorder="1" applyAlignment="1">
      <alignment horizontal="center"/>
    </xf>
    <xf numFmtId="9" fontId="14" fillId="33" borderId="0" xfId="57" applyFont="1" applyFill="1" applyBorder="1" applyAlignment="1">
      <alignment horizontal="right"/>
    </xf>
    <xf numFmtId="37" fontId="15" fillId="33" borderId="15" xfId="0" applyNumberFormat="1" applyFont="1" applyFill="1" applyBorder="1" applyAlignment="1">
      <alignment/>
    </xf>
    <xf numFmtId="37" fontId="15" fillId="33" borderId="0" xfId="0" applyNumberFormat="1" applyFont="1" applyFill="1" applyBorder="1" applyAlignment="1">
      <alignment/>
    </xf>
    <xf numFmtId="37" fontId="15" fillId="0" borderId="0" xfId="0" applyNumberFormat="1" applyFont="1" applyBorder="1" applyAlignment="1">
      <alignment/>
    </xf>
    <xf numFmtId="37" fontId="14" fillId="33" borderId="13" xfId="0" applyNumberFormat="1" applyFont="1" applyFill="1" applyBorder="1" applyAlignment="1">
      <alignment horizontal="left" indent="1"/>
    </xf>
    <xf numFmtId="4" fontId="14" fillId="35" borderId="14" xfId="57" applyNumberFormat="1" applyFont="1" applyFill="1" applyBorder="1" applyAlignment="1">
      <alignment horizontal="right"/>
    </xf>
    <xf numFmtId="37" fontId="14" fillId="0" borderId="15" xfId="0" applyNumberFormat="1" applyFont="1" applyBorder="1" applyAlignment="1">
      <alignment/>
    </xf>
    <xf numFmtId="37" fontId="14" fillId="33" borderId="0" xfId="0" applyNumberFormat="1" applyFont="1" applyFill="1" applyBorder="1" applyAlignment="1">
      <alignment horizontal="right"/>
    </xf>
    <xf numFmtId="37" fontId="14" fillId="0" borderId="0" xfId="0" applyNumberFormat="1" applyFont="1" applyBorder="1" applyAlignment="1">
      <alignment horizontal="center"/>
    </xf>
    <xf numFmtId="9" fontId="14" fillId="35" borderId="24" xfId="57" applyFont="1" applyFill="1" applyBorder="1" applyAlignment="1">
      <alignment horizontal="right"/>
    </xf>
    <xf numFmtId="37" fontId="15" fillId="0" borderId="15" xfId="0" applyNumberFormat="1" applyFont="1" applyBorder="1" applyAlignment="1">
      <alignment/>
    </xf>
    <xf numFmtId="40" fontId="14" fillId="35" borderId="14" xfId="57" applyNumberFormat="1" applyFont="1" applyFill="1" applyBorder="1" applyAlignment="1">
      <alignment horizontal="right"/>
    </xf>
    <xf numFmtId="37" fontId="14" fillId="0" borderId="0" xfId="0" applyNumberFormat="1" applyFont="1" applyBorder="1" applyAlignment="1">
      <alignment/>
    </xf>
    <xf numFmtId="40" fontId="14" fillId="33" borderId="20" xfId="57" applyNumberFormat="1" applyFont="1" applyFill="1" applyBorder="1" applyAlignment="1">
      <alignment horizontal="right"/>
    </xf>
    <xf numFmtId="172" fontId="14" fillId="35" borderId="14" xfId="57" applyNumberFormat="1" applyFont="1" applyFill="1" applyBorder="1" applyAlignment="1">
      <alignment horizontal="right"/>
    </xf>
    <xf numFmtId="172" fontId="14" fillId="33" borderId="15" xfId="57" applyNumberFormat="1" applyFont="1" applyFill="1" applyBorder="1" applyAlignment="1">
      <alignment horizontal="left"/>
    </xf>
    <xf numFmtId="37" fontId="14" fillId="33" borderId="0" xfId="0" applyNumberFormat="1" applyFont="1" applyFill="1" applyBorder="1" applyAlignment="1">
      <alignment/>
    </xf>
    <xf numFmtId="3" fontId="14" fillId="35" borderId="14" xfId="57" applyNumberFormat="1" applyFont="1" applyFill="1" applyBorder="1" applyAlignment="1">
      <alignment horizontal="right"/>
    </xf>
    <xf numFmtId="37" fontId="14" fillId="33" borderId="15" xfId="0" applyNumberFormat="1" applyFont="1" applyFill="1" applyBorder="1" applyAlignment="1">
      <alignment/>
    </xf>
    <xf numFmtId="3" fontId="14" fillId="33" borderId="20" xfId="57" applyNumberFormat="1" applyFont="1" applyFill="1" applyBorder="1" applyAlignment="1">
      <alignment horizontal="right"/>
    </xf>
    <xf numFmtId="38" fontId="14" fillId="35" borderId="14" xfId="57" applyNumberFormat="1" applyFont="1" applyFill="1" applyBorder="1" applyAlignment="1">
      <alignment horizontal="right"/>
    </xf>
    <xf numFmtId="37" fontId="3" fillId="33" borderId="13" xfId="0" applyNumberFormat="1" applyFont="1" applyFill="1" applyBorder="1" applyAlignment="1">
      <alignment horizontal="left" indent="3"/>
    </xf>
    <xf numFmtId="37" fontId="10" fillId="33" borderId="0" xfId="0" applyNumberFormat="1" applyFont="1" applyFill="1" applyBorder="1" applyAlignment="1">
      <alignment horizontal="right"/>
    </xf>
    <xf numFmtId="38" fontId="3" fillId="35" borderId="14" xfId="57" applyNumberFormat="1" applyFont="1" applyFill="1" applyBorder="1" applyAlignment="1">
      <alignment horizontal="right"/>
    </xf>
    <xf numFmtId="37" fontId="3" fillId="0" borderId="15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left"/>
    </xf>
    <xf numFmtId="172" fontId="14" fillId="33" borderId="11" xfId="57" applyNumberFormat="1" applyFont="1" applyFill="1" applyBorder="1" applyAlignment="1">
      <alignment horizontal="right"/>
    </xf>
    <xf numFmtId="37" fontId="6" fillId="33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center"/>
    </xf>
    <xf numFmtId="172" fontId="6" fillId="33" borderId="16" xfId="57" applyNumberFormat="1" applyFont="1" applyFill="1" applyBorder="1" applyAlignment="1">
      <alignment horizontal="right"/>
    </xf>
    <xf numFmtId="37" fontId="6" fillId="33" borderId="15" xfId="0" applyNumberFormat="1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37" fontId="4" fillId="33" borderId="13" xfId="0" applyNumberFormat="1" applyFont="1" applyFill="1" applyBorder="1" applyAlignment="1">
      <alignment horizontal="left" indent="3"/>
    </xf>
    <xf numFmtId="37" fontId="4" fillId="33" borderId="0" xfId="0" applyNumberFormat="1" applyFont="1" applyFill="1" applyBorder="1" applyAlignment="1">
      <alignment horizontal="left" indent="2"/>
    </xf>
    <xf numFmtId="39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73" fontId="6" fillId="33" borderId="0" xfId="57" applyNumberFormat="1" applyFont="1" applyFill="1" applyBorder="1" applyAlignment="1">
      <alignment horizontal="right"/>
    </xf>
    <xf numFmtId="172" fontId="6" fillId="33" borderId="20" xfId="57" applyNumberFormat="1" applyFont="1" applyFill="1" applyBorder="1" applyAlignment="1">
      <alignment horizontal="right"/>
    </xf>
    <xf numFmtId="174" fontId="6" fillId="35" borderId="14" xfId="57" applyNumberFormat="1" applyFont="1" applyFill="1" applyBorder="1" applyAlignment="1">
      <alignment horizontal="right"/>
    </xf>
    <xf numFmtId="37" fontId="4" fillId="0" borderId="15" xfId="0" applyNumberFormat="1" applyFont="1" applyBorder="1" applyAlignment="1">
      <alignment/>
    </xf>
    <xf numFmtId="10" fontId="4" fillId="0" borderId="0" xfId="57" applyNumberFormat="1" applyFont="1" applyBorder="1" applyAlignment="1">
      <alignment/>
    </xf>
    <xf numFmtId="37" fontId="4" fillId="33" borderId="25" xfId="0" applyNumberFormat="1" applyFont="1" applyFill="1" applyBorder="1" applyAlignment="1">
      <alignment horizontal="left" indent="5"/>
    </xf>
    <xf numFmtId="174" fontId="6" fillId="33" borderId="16" xfId="57" applyNumberFormat="1" applyFont="1" applyFill="1" applyBorder="1" applyAlignment="1">
      <alignment horizontal="right"/>
    </xf>
    <xf numFmtId="37" fontId="10" fillId="33" borderId="0" xfId="0" applyNumberFormat="1" applyFont="1" applyFill="1" applyBorder="1" applyAlignment="1">
      <alignment horizontal="left"/>
    </xf>
    <xf numFmtId="37" fontId="5" fillId="33" borderId="27" xfId="0" applyNumberFormat="1" applyFont="1" applyFill="1" applyBorder="1" applyAlignment="1">
      <alignment horizontal="right"/>
    </xf>
    <xf numFmtId="37" fontId="7" fillId="0" borderId="27" xfId="0" applyNumberFormat="1" applyFont="1" applyBorder="1" applyAlignment="1">
      <alignment/>
    </xf>
    <xf numFmtId="37" fontId="7" fillId="0" borderId="1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175" fontId="7" fillId="33" borderId="10" xfId="0" applyNumberFormat="1" applyFont="1" applyFill="1" applyBorder="1" applyAlignment="1">
      <alignment/>
    </xf>
    <xf numFmtId="175" fontId="7" fillId="33" borderId="11" xfId="0" applyNumberFormat="1" applyFont="1" applyFill="1" applyBorder="1" applyAlignment="1">
      <alignment/>
    </xf>
    <xf numFmtId="175" fontId="7" fillId="33" borderId="12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175" fontId="7" fillId="0" borderId="12" xfId="0" applyNumberFormat="1" applyFont="1" applyFill="1" applyBorder="1" applyAlignment="1">
      <alignment/>
    </xf>
    <xf numFmtId="37" fontId="7" fillId="33" borderId="17" xfId="0" applyNumberFormat="1" applyFont="1" applyFill="1" applyBorder="1" applyAlignment="1">
      <alignment horizontal="right"/>
    </xf>
    <xf numFmtId="37" fontId="7" fillId="0" borderId="17" xfId="0" applyNumberFormat="1" applyFont="1" applyBorder="1" applyAlignment="1">
      <alignment/>
    </xf>
    <xf numFmtId="37" fontId="7" fillId="0" borderId="13" xfId="0" applyNumberFormat="1" applyFont="1" applyBorder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37" fontId="5" fillId="33" borderId="13" xfId="0" applyNumberFormat="1" applyFont="1" applyFill="1" applyBorder="1" applyAlignment="1">
      <alignment/>
    </xf>
    <xf numFmtId="37" fontId="5" fillId="33" borderId="15" xfId="0" applyNumberFormat="1" applyFont="1" applyFill="1" applyBorder="1" applyAlignment="1">
      <alignment/>
    </xf>
    <xf numFmtId="37" fontId="5" fillId="0" borderId="13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7" fillId="0" borderId="24" xfId="0" applyNumberFormat="1" applyFont="1" applyBorder="1" applyAlignment="1">
      <alignment/>
    </xf>
    <xf numFmtId="37" fontId="7" fillId="0" borderId="25" xfId="0" applyNumberFormat="1" applyFont="1" applyBorder="1" applyAlignment="1">
      <alignment horizontal="center"/>
    </xf>
    <xf numFmtId="37" fontId="7" fillId="0" borderId="16" xfId="0" applyNumberFormat="1" applyFont="1" applyBorder="1" applyAlignment="1">
      <alignment horizontal="center"/>
    </xf>
    <xf numFmtId="37" fontId="7" fillId="0" borderId="26" xfId="0" applyNumberFormat="1" applyFont="1" applyBorder="1" applyAlignment="1">
      <alignment horizontal="center"/>
    </xf>
    <xf numFmtId="37" fontId="5" fillId="33" borderId="25" xfId="0" applyNumberFormat="1" applyFont="1" applyFill="1" applyBorder="1" applyAlignment="1">
      <alignment/>
    </xf>
    <xf numFmtId="37" fontId="5" fillId="33" borderId="16" xfId="0" applyNumberFormat="1" applyFont="1" applyFill="1" applyBorder="1" applyAlignment="1">
      <alignment/>
    </xf>
    <xf numFmtId="37" fontId="5" fillId="0" borderId="25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26" xfId="0" applyNumberFormat="1" applyFont="1" applyFill="1" applyBorder="1" applyAlignment="1">
      <alignment/>
    </xf>
    <xf numFmtId="37" fontId="7" fillId="33" borderId="10" xfId="0" applyNumberFormat="1" applyFont="1" applyFill="1" applyBorder="1" applyAlignment="1">
      <alignment horizontal="right"/>
    </xf>
    <xf numFmtId="37" fontId="7" fillId="33" borderId="27" xfId="0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2" xfId="0" applyNumberFormat="1" applyFont="1" applyFill="1" applyBorder="1" applyAlignment="1">
      <alignment horizontal="center"/>
    </xf>
    <xf numFmtId="37" fontId="5" fillId="33" borderId="10" xfId="0" applyNumberFormat="1" applyFont="1" applyFill="1" applyBorder="1" applyAlignment="1">
      <alignment/>
    </xf>
    <xf numFmtId="37" fontId="5" fillId="33" borderId="11" xfId="0" applyNumberFormat="1" applyFont="1" applyFill="1" applyBorder="1" applyAlignment="1">
      <alignment/>
    </xf>
    <xf numFmtId="37" fontId="6" fillId="33" borderId="13" xfId="0" applyNumberFormat="1" applyFont="1" applyFill="1" applyBorder="1" applyAlignment="1">
      <alignment horizontal="center"/>
    </xf>
    <xf numFmtId="37" fontId="6" fillId="33" borderId="17" xfId="0" applyNumberFormat="1" applyFont="1" applyFill="1" applyBorder="1" applyAlignment="1">
      <alignment horizontal="center"/>
    </xf>
    <xf numFmtId="37" fontId="6" fillId="0" borderId="17" xfId="0" applyNumberFormat="1" applyFont="1" applyBorder="1" applyAlignment="1">
      <alignment horizontal="center"/>
    </xf>
    <xf numFmtId="37" fontId="6" fillId="36" borderId="0" xfId="0" applyNumberFormat="1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center"/>
    </xf>
    <xf numFmtId="165" fontId="6" fillId="36" borderId="15" xfId="0" applyNumberFormat="1" applyFont="1" applyFill="1" applyBorder="1" applyAlignment="1">
      <alignment horizontal="center"/>
    </xf>
    <xf numFmtId="165" fontId="6" fillId="35" borderId="19" xfId="0" applyNumberFormat="1" applyFont="1" applyFill="1" applyBorder="1" applyAlignment="1">
      <alignment horizontal="center"/>
    </xf>
    <xf numFmtId="165" fontId="6" fillId="35" borderId="20" xfId="0" applyNumberFormat="1" applyFont="1" applyFill="1" applyBorder="1" applyAlignment="1">
      <alignment horizontal="center"/>
    </xf>
    <xf numFmtId="165" fontId="6" fillId="35" borderId="21" xfId="0" applyNumberFormat="1" applyFont="1" applyFill="1" applyBorder="1" applyAlignment="1">
      <alignment horizontal="center"/>
    </xf>
    <xf numFmtId="37" fontId="7" fillId="33" borderId="13" xfId="0" applyNumberFormat="1" applyFont="1" applyFill="1" applyBorder="1" applyAlignment="1">
      <alignment horizontal="right"/>
    </xf>
    <xf numFmtId="37" fontId="7" fillId="33" borderId="24" xfId="0" applyNumberFormat="1" applyFont="1" applyFill="1" applyBorder="1" applyAlignment="1">
      <alignment horizontal="right"/>
    </xf>
    <xf numFmtId="165" fontId="7" fillId="36" borderId="0" xfId="0" applyNumberFormat="1" applyFont="1" applyFill="1" applyBorder="1" applyAlignment="1">
      <alignment horizontal="center"/>
    </xf>
    <xf numFmtId="165" fontId="7" fillId="36" borderId="15" xfId="0" applyNumberFormat="1" applyFont="1" applyFill="1" applyBorder="1" applyAlignment="1">
      <alignment horizontal="center"/>
    </xf>
    <xf numFmtId="165" fontId="5" fillId="33" borderId="13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37" fontId="10" fillId="33" borderId="27" xfId="0" applyNumberFormat="1" applyFont="1" applyFill="1" applyBorder="1" applyAlignment="1">
      <alignment horizontal="right"/>
    </xf>
    <xf numFmtId="37" fontId="9" fillId="0" borderId="27" xfId="0" applyNumberFormat="1" applyFont="1" applyBorder="1" applyAlignment="1">
      <alignment/>
    </xf>
    <xf numFmtId="165" fontId="10" fillId="33" borderId="10" xfId="0" applyNumberFormat="1" applyFon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center"/>
    </xf>
    <xf numFmtId="165" fontId="10" fillId="33" borderId="12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37" fontId="5" fillId="0" borderId="17" xfId="0" applyNumberFormat="1" applyFont="1" applyBorder="1" applyAlignment="1">
      <alignment horizontal="left" indent="2"/>
    </xf>
    <xf numFmtId="165" fontId="5" fillId="0" borderId="1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37" fontId="10" fillId="33" borderId="17" xfId="0" applyNumberFormat="1" applyFont="1" applyFill="1" applyBorder="1" applyAlignment="1">
      <alignment horizontal="right"/>
    </xf>
    <xf numFmtId="37" fontId="10" fillId="0" borderId="17" xfId="0" applyNumberFormat="1" applyFont="1" applyBorder="1" applyAlignment="1">
      <alignment horizontal="left" indent="1"/>
    </xf>
    <xf numFmtId="165" fontId="10" fillId="37" borderId="13" xfId="0" applyNumberFormat="1" applyFont="1" applyFill="1" applyBorder="1" applyAlignment="1">
      <alignment/>
    </xf>
    <xf numFmtId="165" fontId="10" fillId="37" borderId="0" xfId="0" applyNumberFormat="1" applyFont="1" applyFill="1" applyBorder="1" applyAlignment="1">
      <alignment/>
    </xf>
    <xf numFmtId="165" fontId="10" fillId="37" borderId="15" xfId="0" applyNumberFormat="1" applyFont="1" applyFill="1" applyBorder="1" applyAlignment="1">
      <alignment/>
    </xf>
    <xf numFmtId="165" fontId="10" fillId="35" borderId="13" xfId="0" applyNumberFormat="1" applyFont="1" applyFill="1" applyBorder="1" applyAlignment="1">
      <alignment horizontal="right"/>
    </xf>
    <xf numFmtId="165" fontId="10" fillId="35" borderId="0" xfId="0" applyNumberFormat="1" applyFont="1" applyFill="1" applyBorder="1" applyAlignment="1">
      <alignment horizontal="right"/>
    </xf>
    <xf numFmtId="165" fontId="10" fillId="35" borderId="15" xfId="0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37" fontId="5" fillId="33" borderId="17" xfId="0" applyNumberFormat="1" applyFont="1" applyFill="1" applyBorder="1" applyAlignment="1">
      <alignment horizontal="right"/>
    </xf>
    <xf numFmtId="37" fontId="5" fillId="0" borderId="17" xfId="0" applyNumberFormat="1" applyFont="1" applyFill="1" applyBorder="1" applyAlignment="1">
      <alignment horizontal="left" indent="2"/>
    </xf>
    <xf numFmtId="165" fontId="5" fillId="37" borderId="13" xfId="0" applyNumberFormat="1" applyFont="1" applyFill="1" applyBorder="1" applyAlignment="1">
      <alignment/>
    </xf>
    <xf numFmtId="165" fontId="5" fillId="37" borderId="0" xfId="0" applyNumberFormat="1" applyFont="1" applyFill="1" applyBorder="1" applyAlignment="1">
      <alignment/>
    </xf>
    <xf numFmtId="165" fontId="5" fillId="37" borderId="15" xfId="0" applyNumberFormat="1" applyFont="1" applyFill="1" applyBorder="1" applyAlignment="1">
      <alignment/>
    </xf>
    <xf numFmtId="165" fontId="5" fillId="35" borderId="13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165" fontId="5" fillId="35" borderId="15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15" xfId="0" applyNumberFormat="1" applyFont="1" applyFill="1" applyBorder="1" applyAlignment="1">
      <alignment/>
    </xf>
    <xf numFmtId="165" fontId="5" fillId="0" borderId="1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9" fontId="5" fillId="33" borderId="17" xfId="57" applyFont="1" applyFill="1" applyBorder="1" applyAlignment="1">
      <alignment horizontal="right"/>
    </xf>
    <xf numFmtId="37" fontId="6" fillId="0" borderId="17" xfId="0" applyNumberFormat="1" applyFont="1" applyBorder="1" applyAlignment="1">
      <alignment/>
    </xf>
    <xf numFmtId="165" fontId="7" fillId="33" borderId="13" xfId="0" applyNumberFormat="1" applyFont="1" applyFill="1" applyBorder="1" applyAlignment="1">
      <alignment horizontal="center"/>
    </xf>
    <xf numFmtId="165" fontId="7" fillId="33" borderId="0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10" fillId="37" borderId="13" xfId="0" applyNumberFormat="1" applyFont="1" applyFill="1" applyBorder="1" applyAlignment="1">
      <alignment/>
    </xf>
    <xf numFmtId="165" fontId="10" fillId="37" borderId="0" xfId="0" applyNumberFormat="1" applyFont="1" applyFill="1" applyBorder="1" applyAlignment="1">
      <alignment/>
    </xf>
    <xf numFmtId="165" fontId="10" fillId="37" borderId="15" xfId="0" applyNumberFormat="1" applyFont="1" applyFill="1" applyBorder="1" applyAlignment="1">
      <alignment/>
    </xf>
    <xf numFmtId="165" fontId="10" fillId="35" borderId="13" xfId="0" applyNumberFormat="1" applyFont="1" applyFill="1" applyBorder="1" applyAlignment="1">
      <alignment/>
    </xf>
    <xf numFmtId="165" fontId="10" fillId="35" borderId="0" xfId="0" applyNumberFormat="1" applyFont="1" applyFill="1" applyBorder="1" applyAlignment="1">
      <alignment/>
    </xf>
    <xf numFmtId="165" fontId="10" fillId="35" borderId="15" xfId="0" applyNumberFormat="1" applyFont="1" applyFill="1" applyBorder="1" applyAlignment="1">
      <alignment/>
    </xf>
    <xf numFmtId="165" fontId="10" fillId="0" borderId="13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1" fontId="5" fillId="33" borderId="17" xfId="0" applyNumberFormat="1" applyFont="1" applyFill="1" applyBorder="1" applyAlignment="1">
      <alignment horizontal="right"/>
    </xf>
    <xf numFmtId="39" fontId="5" fillId="33" borderId="17" xfId="0" applyNumberFormat="1" applyFont="1" applyFill="1" applyBorder="1" applyAlignment="1">
      <alignment horizontal="right"/>
    </xf>
    <xf numFmtId="165" fontId="5" fillId="33" borderId="25" xfId="0" applyNumberFormat="1" applyFont="1" applyFill="1" applyBorder="1" applyAlignment="1">
      <alignment/>
    </xf>
    <xf numFmtId="165" fontId="5" fillId="33" borderId="16" xfId="0" applyNumberFormat="1" applyFont="1" applyFill="1" applyBorder="1" applyAlignment="1">
      <alignment/>
    </xf>
    <xf numFmtId="165" fontId="5" fillId="33" borderId="26" xfId="0" applyNumberFormat="1" applyFont="1" applyFill="1" applyBorder="1" applyAlignment="1">
      <alignment/>
    </xf>
    <xf numFmtId="165" fontId="5" fillId="0" borderId="2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37" fontId="3" fillId="33" borderId="27" xfId="0" applyNumberFormat="1" applyFont="1" applyFill="1" applyBorder="1" applyAlignment="1">
      <alignment horizontal="right"/>
    </xf>
    <xf numFmtId="37" fontId="9" fillId="0" borderId="27" xfId="0" applyNumberFormat="1" applyFont="1" applyBorder="1" applyAlignment="1">
      <alignment horizontal="left"/>
    </xf>
    <xf numFmtId="165" fontId="3" fillId="33" borderId="10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right"/>
    </xf>
    <xf numFmtId="37" fontId="6" fillId="0" borderId="17" xfId="0" applyNumberFormat="1" applyFont="1" applyBorder="1" applyAlignment="1">
      <alignment horizontal="left"/>
    </xf>
    <xf numFmtId="165" fontId="5" fillId="33" borderId="13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right"/>
    </xf>
    <xf numFmtId="165" fontId="5" fillId="33" borderId="15" xfId="0" applyNumberFormat="1" applyFont="1" applyFill="1" applyBorder="1" applyAlignment="1">
      <alignment horizontal="right"/>
    </xf>
    <xf numFmtId="165" fontId="10" fillId="33" borderId="13" xfId="0" applyNumberFormat="1" applyFont="1" applyFill="1" applyBorder="1" applyAlignment="1">
      <alignment/>
    </xf>
    <xf numFmtId="165" fontId="10" fillId="33" borderId="0" xfId="0" applyNumberFormat="1" applyFont="1" applyFill="1" applyBorder="1" applyAlignment="1">
      <alignment/>
    </xf>
    <xf numFmtId="165" fontId="10" fillId="33" borderId="15" xfId="0" applyNumberFormat="1" applyFont="1" applyFill="1" applyBorder="1" applyAlignment="1">
      <alignment/>
    </xf>
    <xf numFmtId="165" fontId="10" fillId="35" borderId="13" xfId="0" applyNumberFormat="1" applyFont="1" applyFill="1" applyBorder="1" applyAlignment="1">
      <alignment/>
    </xf>
    <xf numFmtId="165" fontId="10" fillId="35" borderId="0" xfId="0" applyNumberFormat="1" applyFont="1" applyFill="1" applyBorder="1" applyAlignment="1">
      <alignment/>
    </xf>
    <xf numFmtId="165" fontId="10" fillId="35" borderId="15" xfId="0" applyNumberFormat="1" applyFont="1" applyFill="1" applyBorder="1" applyAlignment="1">
      <alignment/>
    </xf>
    <xf numFmtId="37" fontId="5" fillId="33" borderId="17" xfId="57" applyNumberFormat="1" applyFont="1" applyFill="1" applyBorder="1" applyAlignment="1">
      <alignment horizontal="right"/>
    </xf>
    <xf numFmtId="165" fontId="5" fillId="35" borderId="13" xfId="0" applyNumberFormat="1" applyFont="1" applyFill="1" applyBorder="1" applyAlignment="1">
      <alignment horizontal="right"/>
    </xf>
    <xf numFmtId="165" fontId="5" fillId="35" borderId="0" xfId="0" applyNumberFormat="1" applyFont="1" applyFill="1" applyBorder="1" applyAlignment="1">
      <alignment horizontal="right"/>
    </xf>
    <xf numFmtId="165" fontId="5" fillId="35" borderId="15" xfId="0" applyNumberFormat="1" applyFont="1" applyFill="1" applyBorder="1" applyAlignment="1">
      <alignment horizontal="right"/>
    </xf>
    <xf numFmtId="165" fontId="5" fillId="36" borderId="0" xfId="0" applyNumberFormat="1" applyFont="1" applyFill="1" applyBorder="1" applyAlignment="1">
      <alignment horizontal="right"/>
    </xf>
    <xf numFmtId="165" fontId="5" fillId="36" borderId="15" xfId="0" applyNumberFormat="1" applyFont="1" applyFill="1" applyBorder="1" applyAlignment="1">
      <alignment horizontal="right"/>
    </xf>
    <xf numFmtId="37" fontId="5" fillId="0" borderId="17" xfId="0" applyNumberFormat="1" applyFont="1" applyBorder="1" applyAlignment="1">
      <alignment horizontal="left" indent="3"/>
    </xf>
    <xf numFmtId="37" fontId="5" fillId="33" borderId="24" xfId="0" applyNumberFormat="1" applyFont="1" applyFill="1" applyBorder="1" applyAlignment="1">
      <alignment horizontal="right"/>
    </xf>
    <xf numFmtId="37" fontId="7" fillId="0" borderId="24" xfId="0" applyNumberFormat="1" applyFont="1" applyBorder="1" applyAlignment="1">
      <alignment horizontal="left" indent="1"/>
    </xf>
    <xf numFmtId="165" fontId="7" fillId="33" borderId="25" xfId="0" applyNumberFormat="1" applyFont="1" applyFill="1" applyBorder="1" applyAlignment="1">
      <alignment/>
    </xf>
    <xf numFmtId="165" fontId="7" fillId="33" borderId="16" xfId="0" applyNumberFormat="1" applyFont="1" applyFill="1" applyBorder="1" applyAlignment="1">
      <alignment/>
    </xf>
    <xf numFmtId="165" fontId="7" fillId="33" borderId="26" xfId="0" applyNumberFormat="1" applyFont="1" applyFill="1" applyBorder="1" applyAlignment="1">
      <alignment/>
    </xf>
    <xf numFmtId="37" fontId="7" fillId="33" borderId="27" xfId="0" applyNumberFormat="1" applyFont="1" applyFill="1" applyBorder="1" applyAlignment="1">
      <alignment horizontal="left" indent="1"/>
    </xf>
    <xf numFmtId="165" fontId="7" fillId="37" borderId="10" xfId="0" applyNumberFormat="1" applyFont="1" applyFill="1" applyBorder="1" applyAlignment="1">
      <alignment/>
    </xf>
    <xf numFmtId="165" fontId="7" fillId="37" borderId="11" xfId="0" applyNumberFormat="1" applyFont="1" applyFill="1" applyBorder="1" applyAlignment="1">
      <alignment/>
    </xf>
    <xf numFmtId="165" fontId="7" fillId="37" borderId="12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165" fontId="7" fillId="33" borderId="12" xfId="0" applyNumberFormat="1" applyFont="1" applyFill="1" applyBorder="1" applyAlignment="1">
      <alignment/>
    </xf>
    <xf numFmtId="37" fontId="7" fillId="0" borderId="17" xfId="0" applyNumberFormat="1" applyFont="1" applyBorder="1" applyAlignment="1">
      <alignment horizontal="left"/>
    </xf>
    <xf numFmtId="165" fontId="7" fillId="37" borderId="13" xfId="0" applyNumberFormat="1" applyFont="1" applyFill="1" applyBorder="1" applyAlignment="1">
      <alignment/>
    </xf>
    <xf numFmtId="165" fontId="7" fillId="37" borderId="0" xfId="0" applyNumberFormat="1" applyFont="1" applyFill="1" applyBorder="1" applyAlignment="1">
      <alignment/>
    </xf>
    <xf numFmtId="165" fontId="7" fillId="37" borderId="15" xfId="0" applyNumberFormat="1" applyFont="1" applyFill="1" applyBorder="1" applyAlignment="1">
      <alignment/>
    </xf>
    <xf numFmtId="37" fontId="5" fillId="0" borderId="17" xfId="0" applyNumberFormat="1" applyFont="1" applyBorder="1" applyAlignment="1">
      <alignment horizontal="left"/>
    </xf>
    <xf numFmtId="37" fontId="5" fillId="0" borderId="17" xfId="0" applyNumberFormat="1" applyFont="1" applyBorder="1" applyAlignment="1">
      <alignment horizontal="left" indent="1"/>
    </xf>
    <xf numFmtId="37" fontId="5" fillId="0" borderId="24" xfId="0" applyNumberFormat="1" applyFont="1" applyBorder="1" applyAlignment="1">
      <alignment horizontal="left" indent="1"/>
    </xf>
    <xf numFmtId="37" fontId="5" fillId="37" borderId="25" xfId="0" applyNumberFormat="1" applyFont="1" applyFill="1" applyBorder="1" applyAlignment="1">
      <alignment/>
    </xf>
    <xf numFmtId="37" fontId="5" fillId="37" borderId="16" xfId="0" applyNumberFormat="1" applyFont="1" applyFill="1" applyBorder="1" applyAlignment="1">
      <alignment/>
    </xf>
    <xf numFmtId="37" fontId="5" fillId="37" borderId="26" xfId="0" applyNumberFormat="1" applyFont="1" applyFill="1" applyBorder="1" applyAlignment="1">
      <alignment/>
    </xf>
    <xf numFmtId="37" fontId="7" fillId="0" borderId="10" xfId="0" applyNumberFormat="1" applyFont="1" applyBorder="1" applyAlignment="1">
      <alignment horizontal="left"/>
    </xf>
    <xf numFmtId="37" fontId="7" fillId="37" borderId="10" xfId="0" applyNumberFormat="1" applyFont="1" applyFill="1" applyBorder="1" applyAlignment="1">
      <alignment horizontal="center"/>
    </xf>
    <xf numFmtId="37" fontId="7" fillId="37" borderId="11" xfId="0" applyNumberFormat="1" applyFont="1" applyFill="1" applyBorder="1" applyAlignment="1">
      <alignment horizontal="center"/>
    </xf>
    <xf numFmtId="37" fontId="7" fillId="37" borderId="12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37" fontId="5" fillId="0" borderId="12" xfId="0" applyNumberFormat="1" applyFont="1" applyFill="1" applyBorder="1" applyAlignment="1">
      <alignment/>
    </xf>
    <xf numFmtId="165" fontId="7" fillId="33" borderId="17" xfId="0" applyNumberFormat="1" applyFont="1" applyFill="1" applyBorder="1" applyAlignment="1">
      <alignment horizontal="right"/>
    </xf>
    <xf numFmtId="165" fontId="7" fillId="33" borderId="0" xfId="0" applyNumberFormat="1" applyFont="1" applyFill="1" applyBorder="1" applyAlignment="1">
      <alignment horizontal="right"/>
    </xf>
    <xf numFmtId="165" fontId="7" fillId="0" borderId="13" xfId="0" applyNumberFormat="1" applyFont="1" applyBorder="1" applyAlignment="1">
      <alignment horizontal="left"/>
    </xf>
    <xf numFmtId="165" fontId="7" fillId="33" borderId="13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3" borderId="15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37" fontId="7" fillId="0" borderId="13" xfId="0" applyNumberFormat="1" applyFont="1" applyBorder="1" applyAlignment="1">
      <alignment horizontal="left"/>
    </xf>
    <xf numFmtId="37" fontId="7" fillId="37" borderId="13" xfId="0" applyNumberFormat="1" applyFont="1" applyFill="1" applyBorder="1" applyAlignment="1">
      <alignment/>
    </xf>
    <xf numFmtId="37" fontId="7" fillId="37" borderId="0" xfId="0" applyNumberFormat="1" applyFont="1" applyFill="1" applyBorder="1" applyAlignment="1">
      <alignment/>
    </xf>
    <xf numFmtId="37" fontId="7" fillId="37" borderId="15" xfId="0" applyNumberFormat="1" applyFont="1" applyFill="1" applyBorder="1" applyAlignment="1">
      <alignment/>
    </xf>
    <xf numFmtId="37" fontId="7" fillId="33" borderId="13" xfId="0" applyNumberFormat="1" applyFont="1" applyFill="1" applyBorder="1" applyAlignment="1">
      <alignment/>
    </xf>
    <xf numFmtId="37" fontId="7" fillId="33" borderId="15" xfId="0" applyNumberFormat="1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15" xfId="0" applyNumberFormat="1" applyFont="1" applyFill="1" applyBorder="1" applyAlignment="1">
      <alignment/>
    </xf>
    <xf numFmtId="9" fontId="7" fillId="33" borderId="17" xfId="57" applyFont="1" applyFill="1" applyBorder="1" applyAlignment="1">
      <alignment horizontal="right"/>
    </xf>
    <xf numFmtId="9" fontId="7" fillId="33" borderId="0" xfId="57" applyFont="1" applyFill="1" applyBorder="1" applyAlignment="1">
      <alignment horizontal="right"/>
    </xf>
    <xf numFmtId="9" fontId="7" fillId="0" borderId="13" xfId="57" applyFont="1" applyBorder="1" applyAlignment="1">
      <alignment horizontal="left"/>
    </xf>
    <xf numFmtId="10" fontId="7" fillId="37" borderId="13" xfId="57" applyNumberFormat="1" applyFont="1" applyFill="1" applyBorder="1" applyAlignment="1">
      <alignment horizontal="center"/>
    </xf>
    <xf numFmtId="9" fontId="7" fillId="37" borderId="0" xfId="57" applyFont="1" applyFill="1" applyBorder="1" applyAlignment="1">
      <alignment/>
    </xf>
    <xf numFmtId="9" fontId="7" fillId="37" borderId="15" xfId="57" applyFont="1" applyFill="1" applyBorder="1" applyAlignment="1">
      <alignment/>
    </xf>
    <xf numFmtId="9" fontId="7" fillId="33" borderId="0" xfId="57" applyFont="1" applyFill="1" applyBorder="1" applyAlignment="1">
      <alignment/>
    </xf>
    <xf numFmtId="9" fontId="7" fillId="33" borderId="15" xfId="57" applyFont="1" applyFill="1" applyBorder="1" applyAlignment="1">
      <alignment/>
    </xf>
    <xf numFmtId="9" fontId="7" fillId="0" borderId="0" xfId="57" applyFont="1" applyBorder="1" applyAlignment="1">
      <alignment/>
    </xf>
    <xf numFmtId="9" fontId="7" fillId="37" borderId="13" xfId="57" applyFont="1" applyFill="1" applyBorder="1" applyAlignment="1">
      <alignment horizontal="center"/>
    </xf>
    <xf numFmtId="9" fontId="7" fillId="33" borderId="13" xfId="57" applyFont="1" applyFill="1" applyBorder="1" applyAlignment="1">
      <alignment/>
    </xf>
    <xf numFmtId="37" fontId="7" fillId="33" borderId="28" xfId="0" applyNumberFormat="1" applyFont="1" applyFill="1" applyBorder="1" applyAlignment="1">
      <alignment horizontal="right"/>
    </xf>
    <xf numFmtId="37" fontId="7" fillId="33" borderId="29" xfId="0" applyNumberFormat="1" applyFont="1" applyFill="1" applyBorder="1" applyAlignment="1">
      <alignment horizontal="right"/>
    </xf>
    <xf numFmtId="37" fontId="7" fillId="0" borderId="30" xfId="0" applyNumberFormat="1" applyFont="1" applyBorder="1" applyAlignment="1">
      <alignment horizontal="left"/>
    </xf>
    <xf numFmtId="39" fontId="7" fillId="37" borderId="30" xfId="0" applyNumberFormat="1" applyFont="1" applyFill="1" applyBorder="1" applyAlignment="1">
      <alignment horizontal="center"/>
    </xf>
    <xf numFmtId="37" fontId="7" fillId="37" borderId="29" xfId="0" applyNumberFormat="1" applyFont="1" applyFill="1" applyBorder="1" applyAlignment="1">
      <alignment horizontal="center"/>
    </xf>
    <xf numFmtId="37" fontId="7" fillId="37" borderId="31" xfId="0" applyNumberFormat="1" applyFont="1" applyFill="1" applyBorder="1" applyAlignment="1">
      <alignment/>
    </xf>
    <xf numFmtId="37" fontId="7" fillId="33" borderId="30" xfId="0" applyNumberFormat="1" applyFont="1" applyFill="1" applyBorder="1" applyAlignment="1">
      <alignment/>
    </xf>
    <xf numFmtId="37" fontId="7" fillId="33" borderId="29" xfId="0" applyNumberFormat="1" applyFont="1" applyFill="1" applyBorder="1" applyAlignment="1">
      <alignment/>
    </xf>
    <xf numFmtId="37" fontId="7" fillId="33" borderId="31" xfId="0" applyNumberFormat="1" applyFont="1" applyFill="1" applyBorder="1" applyAlignment="1">
      <alignment/>
    </xf>
    <xf numFmtId="39" fontId="7" fillId="0" borderId="30" xfId="0" applyNumberFormat="1" applyFont="1" applyFill="1" applyBorder="1" applyAlignment="1">
      <alignment/>
    </xf>
    <xf numFmtId="39" fontId="7" fillId="0" borderId="29" xfId="0" applyNumberFormat="1" applyFont="1" applyFill="1" applyBorder="1" applyAlignment="1">
      <alignment/>
    </xf>
    <xf numFmtId="39" fontId="7" fillId="0" borderId="31" xfId="0" applyNumberFormat="1" applyFont="1" applyFill="1" applyBorder="1" applyAlignment="1">
      <alignment/>
    </xf>
    <xf numFmtId="37" fontId="7" fillId="0" borderId="29" xfId="0" applyNumberFormat="1" applyFont="1" applyFill="1" applyBorder="1" applyAlignment="1">
      <alignment/>
    </xf>
    <xf numFmtId="37" fontId="7" fillId="0" borderId="29" xfId="0" applyNumberFormat="1" applyFont="1" applyBorder="1" applyAlignment="1">
      <alignment/>
    </xf>
    <xf numFmtId="37" fontId="7" fillId="33" borderId="16" xfId="0" applyNumberFormat="1" applyFont="1" applyFill="1" applyBorder="1" applyAlignment="1">
      <alignment horizontal="right"/>
    </xf>
    <xf numFmtId="37" fontId="7" fillId="0" borderId="25" xfId="0" applyNumberFormat="1" applyFont="1" applyFill="1" applyBorder="1" applyAlignment="1">
      <alignment horizontal="left"/>
    </xf>
    <xf numFmtId="37" fontId="7" fillId="37" borderId="25" xfId="0" applyNumberFormat="1" applyFont="1" applyFill="1" applyBorder="1" applyAlignment="1">
      <alignment horizontal="center"/>
    </xf>
    <xf numFmtId="37" fontId="7" fillId="37" borderId="16" xfId="0" applyNumberFormat="1" applyFont="1" applyFill="1" applyBorder="1" applyAlignment="1">
      <alignment/>
    </xf>
    <xf numFmtId="37" fontId="7" fillId="37" borderId="26" xfId="0" applyNumberFormat="1" applyFont="1" applyFill="1" applyBorder="1" applyAlignment="1">
      <alignment/>
    </xf>
    <xf numFmtId="37" fontId="7" fillId="0" borderId="25" xfId="0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37" fontId="7" fillId="0" borderId="26" xfId="0" applyNumberFormat="1" applyFont="1" applyBorder="1" applyAlignment="1">
      <alignment/>
    </xf>
    <xf numFmtId="37" fontId="5" fillId="33" borderId="0" xfId="0" applyNumberFormat="1" applyFont="1" applyFill="1" applyBorder="1" applyAlignment="1">
      <alignment horizontal="right" indent="3"/>
    </xf>
    <xf numFmtId="37" fontId="7" fillId="0" borderId="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indent="2"/>
    </xf>
    <xf numFmtId="37" fontId="7" fillId="33" borderId="0" xfId="0" applyNumberFormat="1" applyFont="1" applyFill="1" applyBorder="1" applyAlignment="1">
      <alignment horizontal="right" indent="1"/>
    </xf>
    <xf numFmtId="37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zoomScale="60" zoomScaleNormal="60" zoomScalePageLayoutView="0" workbookViewId="0" topLeftCell="A91">
      <selection activeCell="D132" sqref="D132"/>
    </sheetView>
  </sheetViews>
  <sheetFormatPr defaultColWidth="9.140625" defaultRowHeight="15"/>
  <cols>
    <col min="1" max="1" width="6.28125" style="8" customWidth="1"/>
    <col min="2" max="2" width="4.421875" style="8" customWidth="1"/>
    <col min="3" max="3" width="65.140625" style="9" customWidth="1"/>
    <col min="4" max="4" width="13.8515625" style="400" bestFit="1" customWidth="1"/>
    <col min="5" max="5" width="21.00390625" style="11" customWidth="1"/>
    <col min="6" max="6" width="13.7109375" style="11" bestFit="1" customWidth="1"/>
    <col min="7" max="7" width="12.57421875" style="11" customWidth="1"/>
    <col min="8" max="10" width="12.00390625" style="11" bestFit="1" customWidth="1"/>
    <col min="11" max="11" width="11.8515625" style="11" customWidth="1"/>
    <col min="12" max="32" width="12.00390625" style="11" bestFit="1" customWidth="1"/>
    <col min="33" max="16384" width="9.140625" style="11" customWidth="1"/>
  </cols>
  <sheetData>
    <row r="1" spans="1:4" s="5" customFormat="1" ht="18">
      <c r="A1" s="1" t="s">
        <v>0</v>
      </c>
      <c r="B1" s="2"/>
      <c r="C1" s="3"/>
      <c r="D1" s="4"/>
    </row>
    <row r="2" spans="1:4" s="5" customFormat="1" ht="18">
      <c r="A2" s="6"/>
      <c r="B2" s="2"/>
      <c r="C2" s="3"/>
      <c r="D2" s="4"/>
    </row>
    <row r="3" spans="1:4" s="5" customFormat="1" ht="18">
      <c r="A3" s="1" t="s">
        <v>1</v>
      </c>
      <c r="B3" s="2"/>
      <c r="C3" s="3"/>
      <c r="D3" s="4"/>
    </row>
    <row r="4" spans="1:4" ht="18" thickBot="1">
      <c r="A4" s="7"/>
      <c r="D4" s="10"/>
    </row>
    <row r="5" spans="1:5" ht="18" thickBot="1">
      <c r="A5" s="12"/>
      <c r="B5" s="13"/>
      <c r="C5" s="14"/>
      <c r="D5" s="15"/>
      <c r="E5" s="16"/>
    </row>
    <row r="6" spans="1:5" s="22" customFormat="1" ht="18" thickBot="1">
      <c r="A6" s="17" t="s">
        <v>2</v>
      </c>
      <c r="B6" s="18"/>
      <c r="C6" s="19"/>
      <c r="D6" s="20">
        <v>4</v>
      </c>
      <c r="E6" s="21" t="s">
        <v>3</v>
      </c>
    </row>
    <row r="7" spans="1:5" ht="17.25">
      <c r="A7" s="23"/>
      <c r="D7" s="24"/>
      <c r="E7" s="25"/>
    </row>
    <row r="8" spans="1:11" ht="17.25" thickBot="1">
      <c r="A8" s="26" t="s">
        <v>4</v>
      </c>
      <c r="D8" s="27"/>
      <c r="E8" s="25"/>
      <c r="G8" s="28" t="s">
        <v>5</v>
      </c>
      <c r="K8" s="29" t="s">
        <v>6</v>
      </c>
    </row>
    <row r="9" spans="1:12" ht="19.5" thickBot="1">
      <c r="A9" s="30" t="s">
        <v>7</v>
      </c>
      <c r="D9" s="31">
        <v>10</v>
      </c>
      <c r="E9" s="25" t="s">
        <v>8</v>
      </c>
      <c r="G9" s="32">
        <v>0.2</v>
      </c>
      <c r="H9" s="33">
        <v>0.4</v>
      </c>
      <c r="I9" s="33">
        <v>0.35</v>
      </c>
      <c r="J9" s="34">
        <v>0.05</v>
      </c>
      <c r="K9" s="35">
        <f>SUM(G9:J9)</f>
        <v>1</v>
      </c>
      <c r="L9" s="11" t="str">
        <f>IF(K9=100%,"OK","ERROR")</f>
        <v>OK</v>
      </c>
    </row>
    <row r="10" spans="1:12" ht="19.5" thickBot="1">
      <c r="A10" s="30" t="s">
        <v>9</v>
      </c>
      <c r="D10" s="36">
        <v>15</v>
      </c>
      <c r="E10" s="25" t="s">
        <v>8</v>
      </c>
      <c r="G10" s="32">
        <v>0.2</v>
      </c>
      <c r="H10" s="33">
        <v>0.4</v>
      </c>
      <c r="I10" s="33">
        <v>0.35</v>
      </c>
      <c r="J10" s="34">
        <v>0.05</v>
      </c>
      <c r="K10" s="35">
        <f>SUM(G10:J10)</f>
        <v>1</v>
      </c>
      <c r="L10" s="11" t="str">
        <f>IF(K10=100%,"OK","ERROR")</f>
        <v>OK</v>
      </c>
    </row>
    <row r="11" spans="1:12" ht="19.5" thickBot="1">
      <c r="A11" s="30" t="s">
        <v>10</v>
      </c>
      <c r="D11" s="36">
        <v>5</v>
      </c>
      <c r="E11" s="25" t="s">
        <v>8</v>
      </c>
      <c r="G11" s="32">
        <v>0.2</v>
      </c>
      <c r="H11" s="33">
        <v>0.4</v>
      </c>
      <c r="I11" s="33">
        <v>0.35</v>
      </c>
      <c r="J11" s="34">
        <v>0.05</v>
      </c>
      <c r="K11" s="35">
        <f>SUM(G11:J11)</f>
        <v>1</v>
      </c>
      <c r="L11" s="11" t="str">
        <f>IF(K11=100%,"OK","ERROR")</f>
        <v>OK</v>
      </c>
    </row>
    <row r="12" spans="1:12" ht="19.5" thickBot="1">
      <c r="A12" s="30" t="s">
        <v>11</v>
      </c>
      <c r="D12" s="36">
        <v>100</v>
      </c>
      <c r="E12" s="25" t="s">
        <v>8</v>
      </c>
      <c r="G12" s="32">
        <v>0.2</v>
      </c>
      <c r="H12" s="33">
        <v>0.4</v>
      </c>
      <c r="I12" s="33">
        <v>0.35</v>
      </c>
      <c r="J12" s="34">
        <v>0.05</v>
      </c>
      <c r="K12" s="35">
        <f>SUM(G12:J12)</f>
        <v>1</v>
      </c>
      <c r="L12" s="11" t="str">
        <f>IF(K12=100%,"OK","ERROR")</f>
        <v>OK</v>
      </c>
    </row>
    <row r="13" spans="1:12" ht="19.5" thickBot="1">
      <c r="A13" s="30" t="s">
        <v>12</v>
      </c>
      <c r="D13" s="37">
        <v>5</v>
      </c>
      <c r="E13" s="25" t="s">
        <v>8</v>
      </c>
      <c r="G13" s="32">
        <v>0.2</v>
      </c>
      <c r="H13" s="33">
        <v>0.4</v>
      </c>
      <c r="I13" s="33">
        <v>0.35</v>
      </c>
      <c r="J13" s="34">
        <v>0.05</v>
      </c>
      <c r="K13" s="35">
        <f>SUM(G13:J13)</f>
        <v>1</v>
      </c>
      <c r="L13" s="11" t="str">
        <f>IF(K13=100%,"OK","ERROR")</f>
        <v>OK</v>
      </c>
    </row>
    <row r="14" spans="1:5" s="28" customFormat="1" ht="15" thickBot="1">
      <c r="A14" s="38" t="s">
        <v>13</v>
      </c>
      <c r="B14" s="39"/>
      <c r="C14" s="29"/>
      <c r="D14" s="40">
        <f>SUM(D9:D13)</f>
        <v>135</v>
      </c>
      <c r="E14" s="41" t="s">
        <v>8</v>
      </c>
    </row>
    <row r="15" spans="1:5" ht="17.25">
      <c r="A15" s="42"/>
      <c r="D15" s="15"/>
      <c r="E15" s="25"/>
    </row>
    <row r="16" spans="1:11" s="28" customFormat="1" ht="15.75" thickBot="1">
      <c r="A16" s="26" t="s">
        <v>14</v>
      </c>
      <c r="B16" s="39"/>
      <c r="C16" s="29"/>
      <c r="D16" s="27"/>
      <c r="E16" s="41"/>
      <c r="G16" s="28" t="s">
        <v>15</v>
      </c>
      <c r="K16" s="29" t="s">
        <v>6</v>
      </c>
    </row>
    <row r="17" spans="1:12" ht="19.5" thickBot="1">
      <c r="A17" s="43" t="s">
        <v>16</v>
      </c>
      <c r="D17" s="44">
        <v>0</v>
      </c>
      <c r="E17" s="25" t="s">
        <v>8</v>
      </c>
      <c r="G17" s="32">
        <v>0.2</v>
      </c>
      <c r="H17" s="33">
        <v>0.4</v>
      </c>
      <c r="I17" s="33">
        <v>0.35</v>
      </c>
      <c r="J17" s="34">
        <v>0.05</v>
      </c>
      <c r="K17" s="45">
        <f>SUM(G17:J17)</f>
        <v>1</v>
      </c>
      <c r="L17" s="11" t="str">
        <f>IF(K17=100%,"OK","ERROR")</f>
        <v>OK</v>
      </c>
    </row>
    <row r="18" spans="1:12" ht="18" thickBot="1">
      <c r="A18" s="43" t="s">
        <v>17</v>
      </c>
      <c r="D18" s="46">
        <v>30</v>
      </c>
      <c r="E18" s="25" t="s">
        <v>8</v>
      </c>
      <c r="G18" s="47">
        <v>0</v>
      </c>
      <c r="H18" s="48">
        <v>0</v>
      </c>
      <c r="I18" s="48">
        <v>0.5</v>
      </c>
      <c r="J18" s="49">
        <v>0.5</v>
      </c>
      <c r="K18" s="50">
        <f>SUM(G18:J18)</f>
        <v>1</v>
      </c>
      <c r="L18" s="11" t="str">
        <f>IF(K18=100%,"OK","ERROR")</f>
        <v>OK</v>
      </c>
    </row>
    <row r="19" spans="1:5" ht="18" thickBot="1">
      <c r="A19" s="43" t="s">
        <v>18</v>
      </c>
      <c r="D19" s="51">
        <v>2</v>
      </c>
      <c r="E19" s="25"/>
    </row>
    <row r="20" spans="1:5" ht="18" thickBot="1">
      <c r="A20" s="43" t="s">
        <v>19</v>
      </c>
      <c r="D20" s="52">
        <v>0.1</v>
      </c>
      <c r="E20" s="25"/>
    </row>
    <row r="21" spans="1:11" ht="18" thickBot="1">
      <c r="A21" s="43" t="s">
        <v>20</v>
      </c>
      <c r="D21" s="53">
        <v>12</v>
      </c>
      <c r="E21" s="25" t="s">
        <v>21</v>
      </c>
      <c r="G21" s="28" t="s">
        <v>22</v>
      </c>
      <c r="K21" s="29" t="s">
        <v>6</v>
      </c>
    </row>
    <row r="22" spans="1:12" ht="18" thickBot="1">
      <c r="A22" s="43" t="s">
        <v>23</v>
      </c>
      <c r="D22" s="54">
        <f>D14-D17-D18</f>
        <v>105</v>
      </c>
      <c r="E22" s="25" t="s">
        <v>8</v>
      </c>
      <c r="G22" s="47">
        <v>0</v>
      </c>
      <c r="H22" s="48">
        <v>0</v>
      </c>
      <c r="I22" s="48">
        <v>0.5</v>
      </c>
      <c r="J22" s="49">
        <v>0.5</v>
      </c>
      <c r="K22" s="45">
        <f>SUM(G22:J22)</f>
        <v>1</v>
      </c>
      <c r="L22" s="11" t="str">
        <f>IF(K22=100%,"OK","ERROR")</f>
        <v>OK</v>
      </c>
    </row>
    <row r="23" spans="1:11" ht="18" thickBot="1">
      <c r="A23" s="43" t="s">
        <v>24</v>
      </c>
      <c r="D23" s="55">
        <f>K23</f>
        <v>10.7625</v>
      </c>
      <c r="E23" s="25" t="s">
        <v>8</v>
      </c>
      <c r="G23" s="56">
        <f>$D22*G22*$D20</f>
        <v>0</v>
      </c>
      <c r="H23" s="57">
        <f>($D22+G23)*H22*$D20</f>
        <v>0</v>
      </c>
      <c r="I23" s="57">
        <f>($D22+H23+G23)*I22*$D20</f>
        <v>5.25</v>
      </c>
      <c r="J23" s="58">
        <f>($D22+I23+H23+G23)*J22*$D20</f>
        <v>5.5125</v>
      </c>
      <c r="K23" s="59">
        <f>SUM(G23:J23)</f>
        <v>10.7625</v>
      </c>
    </row>
    <row r="24" spans="1:5" ht="17.25" thickBot="1">
      <c r="A24" s="60" t="s">
        <v>25</v>
      </c>
      <c r="D24" s="61">
        <f>D14-D17-D18+D23</f>
        <v>115.7625</v>
      </c>
      <c r="E24" s="25" t="s">
        <v>8</v>
      </c>
    </row>
    <row r="25" spans="1:5" ht="17.25" thickBot="1">
      <c r="A25" s="62"/>
      <c r="B25" s="63"/>
      <c r="C25" s="64"/>
      <c r="D25" s="65"/>
      <c r="E25" s="66"/>
    </row>
    <row r="26" spans="1:4" ht="18" thickBot="1">
      <c r="A26" s="7"/>
      <c r="D26" s="10"/>
    </row>
    <row r="27" spans="1:5" ht="18" thickBot="1">
      <c r="A27" s="12"/>
      <c r="B27" s="13"/>
      <c r="C27" s="14"/>
      <c r="D27" s="15"/>
      <c r="E27" s="16"/>
    </row>
    <row r="28" spans="1:5" ht="21" thickBot="1">
      <c r="A28" s="67" t="s">
        <v>26</v>
      </c>
      <c r="D28" s="20">
        <v>22</v>
      </c>
      <c r="E28" s="41" t="s">
        <v>3</v>
      </c>
    </row>
    <row r="29" spans="1:5" ht="17.25" thickBot="1">
      <c r="A29" s="17"/>
      <c r="D29" s="68"/>
      <c r="E29" s="25"/>
    </row>
    <row r="30" spans="1:5" ht="17.25" thickBot="1">
      <c r="A30" s="26" t="s">
        <v>27</v>
      </c>
      <c r="B30" s="11"/>
      <c r="D30" s="52">
        <v>0.03</v>
      </c>
      <c r="E30" s="25"/>
    </row>
    <row r="31" spans="1:11" ht="17.25" thickBot="1">
      <c r="A31" s="17"/>
      <c r="B31" s="11"/>
      <c r="D31" s="69"/>
      <c r="E31" s="25"/>
      <c r="K31" s="28" t="s">
        <v>28</v>
      </c>
    </row>
    <row r="32" spans="1:32" ht="17.25" thickBot="1">
      <c r="A32" s="26" t="s">
        <v>29</v>
      </c>
      <c r="D32" s="44">
        <v>150000</v>
      </c>
      <c r="E32" s="25" t="s">
        <v>30</v>
      </c>
      <c r="I32" s="11" t="str">
        <f>IF(J32=100%,"OK","ERROR")</f>
        <v>OK</v>
      </c>
      <c r="J32" s="70">
        <f>SUM(K32:AF32)/22</f>
        <v>1</v>
      </c>
      <c r="K32" s="47">
        <v>1</v>
      </c>
      <c r="L32" s="48">
        <v>1</v>
      </c>
      <c r="M32" s="48">
        <v>1</v>
      </c>
      <c r="N32" s="48">
        <v>1</v>
      </c>
      <c r="O32" s="48">
        <v>1</v>
      </c>
      <c r="P32" s="48">
        <v>1</v>
      </c>
      <c r="Q32" s="48">
        <v>1</v>
      </c>
      <c r="R32" s="48">
        <v>1</v>
      </c>
      <c r="S32" s="48">
        <v>1</v>
      </c>
      <c r="T32" s="48">
        <v>1</v>
      </c>
      <c r="U32" s="48">
        <v>1</v>
      </c>
      <c r="V32" s="48">
        <v>1</v>
      </c>
      <c r="W32" s="48">
        <v>1</v>
      </c>
      <c r="X32" s="48">
        <v>1</v>
      </c>
      <c r="Y32" s="48">
        <v>1</v>
      </c>
      <c r="Z32" s="48">
        <v>1</v>
      </c>
      <c r="AA32" s="48">
        <v>1</v>
      </c>
      <c r="AB32" s="48">
        <v>1</v>
      </c>
      <c r="AC32" s="48">
        <v>1</v>
      </c>
      <c r="AD32" s="48">
        <v>1</v>
      </c>
      <c r="AE32" s="48">
        <v>1</v>
      </c>
      <c r="AF32" s="49">
        <v>1</v>
      </c>
    </row>
    <row r="33" spans="1:32" ht="17.25" thickBot="1">
      <c r="A33" s="26" t="s">
        <v>31</v>
      </c>
      <c r="D33" s="44">
        <v>135000</v>
      </c>
      <c r="E33" s="25" t="s">
        <v>32</v>
      </c>
      <c r="I33" s="11" t="str">
        <f>IF(J33=100%,"OK","ERROR")</f>
        <v>OK</v>
      </c>
      <c r="J33" s="70">
        <f>SUM(K33:AF33)/22</f>
        <v>1</v>
      </c>
      <c r="K33" s="47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v>1</v>
      </c>
      <c r="AB33" s="48">
        <v>1</v>
      </c>
      <c r="AC33" s="48">
        <v>1</v>
      </c>
      <c r="AD33" s="48">
        <v>1</v>
      </c>
      <c r="AE33" s="48">
        <v>1</v>
      </c>
      <c r="AF33" s="49">
        <v>1</v>
      </c>
    </row>
    <row r="34" spans="1:11" ht="18" thickBot="1">
      <c r="A34" s="42"/>
      <c r="D34" s="71"/>
      <c r="E34" s="25"/>
      <c r="K34" s="28"/>
    </row>
    <row r="35" spans="1:35" s="28" customFormat="1" ht="17.25" thickBot="1">
      <c r="A35" s="26" t="s">
        <v>33</v>
      </c>
      <c r="B35" s="39"/>
      <c r="C35" s="29"/>
      <c r="D35" s="72">
        <v>2</v>
      </c>
      <c r="E35" s="41" t="s">
        <v>34</v>
      </c>
      <c r="F35" s="73" t="s">
        <v>35</v>
      </c>
      <c r="I35" s="74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4"/>
      <c r="AH35" s="74"/>
      <c r="AI35" s="74"/>
    </row>
    <row r="36" spans="1:32" ht="18" thickBot="1">
      <c r="A36" s="42" t="s">
        <v>36</v>
      </c>
      <c r="D36" s="76">
        <v>5</v>
      </c>
      <c r="E36" s="25" t="s">
        <v>37</v>
      </c>
      <c r="F36" s="77" t="s">
        <v>35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8" thickBot="1">
      <c r="A37" s="42" t="s">
        <v>38</v>
      </c>
      <c r="D37" s="76">
        <v>15</v>
      </c>
      <c r="E37" s="25" t="s">
        <v>39</v>
      </c>
      <c r="F37" s="79" t="s">
        <v>35</v>
      </c>
      <c r="I37" s="80"/>
      <c r="J37" s="78"/>
      <c r="K37" s="74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s="28" customFormat="1" ht="17.25" thickBot="1">
      <c r="A38" s="26" t="s">
        <v>40</v>
      </c>
      <c r="B38" s="39"/>
      <c r="C38" s="29"/>
      <c r="D38" s="81">
        <f>AVERAGE(K38:AF38)</f>
        <v>1.4281537499999999</v>
      </c>
      <c r="E38" s="41" t="s">
        <v>41</v>
      </c>
      <c r="F38" s="73" t="s">
        <v>35</v>
      </c>
      <c r="I38" s="74"/>
      <c r="J38" s="75"/>
      <c r="K38" s="82">
        <f aca="true" t="shared" si="0" ref="K38:AF38">$D$36/1000*1.41*$D$32*K32*365/1000000+$D$37/1000*1.41*$D$33*K33*365/1000000</f>
        <v>1.4281537499999999</v>
      </c>
      <c r="L38" s="83">
        <f t="shared" si="0"/>
        <v>1.4281537499999999</v>
      </c>
      <c r="M38" s="83">
        <f t="shared" si="0"/>
        <v>1.4281537499999999</v>
      </c>
      <c r="N38" s="83">
        <f t="shared" si="0"/>
        <v>1.4281537499999999</v>
      </c>
      <c r="O38" s="83">
        <f t="shared" si="0"/>
        <v>1.4281537499999999</v>
      </c>
      <c r="P38" s="83">
        <f t="shared" si="0"/>
        <v>1.4281537499999999</v>
      </c>
      <c r="Q38" s="83">
        <f t="shared" si="0"/>
        <v>1.4281537499999999</v>
      </c>
      <c r="R38" s="83">
        <f t="shared" si="0"/>
        <v>1.4281537499999999</v>
      </c>
      <c r="S38" s="83">
        <f t="shared" si="0"/>
        <v>1.4281537499999999</v>
      </c>
      <c r="T38" s="83">
        <f t="shared" si="0"/>
        <v>1.4281537499999999</v>
      </c>
      <c r="U38" s="83">
        <f t="shared" si="0"/>
        <v>1.4281537499999999</v>
      </c>
      <c r="V38" s="83">
        <f t="shared" si="0"/>
        <v>1.4281537499999999</v>
      </c>
      <c r="W38" s="83">
        <f t="shared" si="0"/>
        <v>1.4281537499999999</v>
      </c>
      <c r="X38" s="83">
        <f t="shared" si="0"/>
        <v>1.4281537499999999</v>
      </c>
      <c r="Y38" s="83">
        <f t="shared" si="0"/>
        <v>1.4281537499999999</v>
      </c>
      <c r="Z38" s="83">
        <f t="shared" si="0"/>
        <v>1.4281537499999999</v>
      </c>
      <c r="AA38" s="83">
        <f t="shared" si="0"/>
        <v>1.4281537499999999</v>
      </c>
      <c r="AB38" s="83">
        <f t="shared" si="0"/>
        <v>1.4281537499999999</v>
      </c>
      <c r="AC38" s="83">
        <f t="shared" si="0"/>
        <v>1.4281537499999999</v>
      </c>
      <c r="AD38" s="83">
        <f t="shared" si="0"/>
        <v>1.4281537499999999</v>
      </c>
      <c r="AE38" s="83">
        <f t="shared" si="0"/>
        <v>1.4281537499999999</v>
      </c>
      <c r="AF38" s="84">
        <f t="shared" si="0"/>
        <v>1.4281537499999999</v>
      </c>
    </row>
    <row r="39" spans="1:6" s="28" customFormat="1" ht="15.75" thickBot="1">
      <c r="A39" s="26" t="s">
        <v>42</v>
      </c>
      <c r="B39" s="39"/>
      <c r="C39" s="29"/>
      <c r="D39" s="52">
        <v>0.1</v>
      </c>
      <c r="E39" s="41" t="s">
        <v>43</v>
      </c>
      <c r="F39" s="85" t="s">
        <v>35</v>
      </c>
    </row>
    <row r="40" spans="1:6" s="28" customFormat="1" ht="15.75" thickBot="1">
      <c r="A40" s="26"/>
      <c r="B40" s="39"/>
      <c r="C40" s="29"/>
      <c r="D40" s="69"/>
      <c r="E40" s="41"/>
      <c r="F40" s="86" t="s">
        <v>35</v>
      </c>
    </row>
    <row r="41" spans="1:32" s="88" customFormat="1" ht="19.5" thickBot="1">
      <c r="A41" s="42" t="s">
        <v>44</v>
      </c>
      <c r="B41" s="87"/>
      <c r="D41" s="52">
        <v>0.15</v>
      </c>
      <c r="E41" s="89"/>
      <c r="F41" s="90" t="s">
        <v>35</v>
      </c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</row>
    <row r="42" spans="1:32" s="5" customFormat="1" ht="19.5" thickBot="1">
      <c r="A42" s="42" t="s">
        <v>45</v>
      </c>
      <c r="B42" s="93"/>
      <c r="D42" s="94">
        <f>J42</f>
        <v>0.9999999999999997</v>
      </c>
      <c r="E42" s="95"/>
      <c r="I42" s="22" t="str">
        <f>IF(J42=100%,"OK","ERROR")</f>
        <v>OK</v>
      </c>
      <c r="J42" s="96">
        <f>SUM(K42:AF42)</f>
        <v>0.9999999999999997</v>
      </c>
      <c r="K42" s="97">
        <f aca="true" t="shared" si="1" ref="K42:AF42">1/22</f>
        <v>0.045454545454545456</v>
      </c>
      <c r="L42" s="98">
        <f t="shared" si="1"/>
        <v>0.045454545454545456</v>
      </c>
      <c r="M42" s="98">
        <f t="shared" si="1"/>
        <v>0.045454545454545456</v>
      </c>
      <c r="N42" s="98">
        <f t="shared" si="1"/>
        <v>0.045454545454545456</v>
      </c>
      <c r="O42" s="98">
        <f t="shared" si="1"/>
        <v>0.045454545454545456</v>
      </c>
      <c r="P42" s="98">
        <f t="shared" si="1"/>
        <v>0.045454545454545456</v>
      </c>
      <c r="Q42" s="98">
        <f t="shared" si="1"/>
        <v>0.045454545454545456</v>
      </c>
      <c r="R42" s="98">
        <f t="shared" si="1"/>
        <v>0.045454545454545456</v>
      </c>
      <c r="S42" s="98">
        <f t="shared" si="1"/>
        <v>0.045454545454545456</v>
      </c>
      <c r="T42" s="98">
        <f t="shared" si="1"/>
        <v>0.045454545454545456</v>
      </c>
      <c r="U42" s="98">
        <f t="shared" si="1"/>
        <v>0.045454545454545456</v>
      </c>
      <c r="V42" s="98">
        <f t="shared" si="1"/>
        <v>0.045454545454545456</v>
      </c>
      <c r="W42" s="98">
        <f t="shared" si="1"/>
        <v>0.045454545454545456</v>
      </c>
      <c r="X42" s="98">
        <f t="shared" si="1"/>
        <v>0.045454545454545456</v>
      </c>
      <c r="Y42" s="98">
        <f t="shared" si="1"/>
        <v>0.045454545454545456</v>
      </c>
      <c r="Z42" s="98">
        <f t="shared" si="1"/>
        <v>0.045454545454545456</v>
      </c>
      <c r="AA42" s="98">
        <f t="shared" si="1"/>
        <v>0.045454545454545456</v>
      </c>
      <c r="AB42" s="98">
        <f t="shared" si="1"/>
        <v>0.045454545454545456</v>
      </c>
      <c r="AC42" s="98">
        <f t="shared" si="1"/>
        <v>0.045454545454545456</v>
      </c>
      <c r="AD42" s="98">
        <f t="shared" si="1"/>
        <v>0.045454545454545456</v>
      </c>
      <c r="AE42" s="98">
        <f t="shared" si="1"/>
        <v>0.045454545454545456</v>
      </c>
      <c r="AF42" s="99">
        <f t="shared" si="1"/>
        <v>0.045454545454545456</v>
      </c>
    </row>
    <row r="43" spans="1:32" s="106" customFormat="1" ht="15.75" thickBot="1">
      <c r="A43" s="100" t="s">
        <v>46</v>
      </c>
      <c r="B43" s="101"/>
      <c r="C43" s="102"/>
      <c r="D43" s="103">
        <f>J43</f>
        <v>0.9204545454545456</v>
      </c>
      <c r="E43" s="104" t="s">
        <v>34</v>
      </c>
      <c r="F43" s="105" t="s">
        <v>35</v>
      </c>
      <c r="J43" s="107">
        <f>AVERAGE(K43:AF43)</f>
        <v>0.9204545454545456</v>
      </c>
      <c r="K43" s="108">
        <f aca="true" t="shared" si="2" ref="K43:AF43">$D$14*$D$41*K42</f>
        <v>0.9204545454545455</v>
      </c>
      <c r="L43" s="109">
        <f t="shared" si="2"/>
        <v>0.9204545454545455</v>
      </c>
      <c r="M43" s="109">
        <f t="shared" si="2"/>
        <v>0.9204545454545455</v>
      </c>
      <c r="N43" s="109">
        <f t="shared" si="2"/>
        <v>0.9204545454545455</v>
      </c>
      <c r="O43" s="109">
        <f t="shared" si="2"/>
        <v>0.9204545454545455</v>
      </c>
      <c r="P43" s="109">
        <f t="shared" si="2"/>
        <v>0.9204545454545455</v>
      </c>
      <c r="Q43" s="109">
        <f t="shared" si="2"/>
        <v>0.9204545454545455</v>
      </c>
      <c r="R43" s="109">
        <f t="shared" si="2"/>
        <v>0.9204545454545455</v>
      </c>
      <c r="S43" s="109">
        <f t="shared" si="2"/>
        <v>0.9204545454545455</v>
      </c>
      <c r="T43" s="109">
        <f t="shared" si="2"/>
        <v>0.9204545454545455</v>
      </c>
      <c r="U43" s="109">
        <f t="shared" si="2"/>
        <v>0.9204545454545455</v>
      </c>
      <c r="V43" s="109">
        <f t="shared" si="2"/>
        <v>0.9204545454545455</v>
      </c>
      <c r="W43" s="109">
        <f t="shared" si="2"/>
        <v>0.9204545454545455</v>
      </c>
      <c r="X43" s="109">
        <f t="shared" si="2"/>
        <v>0.9204545454545455</v>
      </c>
      <c r="Y43" s="109">
        <f t="shared" si="2"/>
        <v>0.9204545454545455</v>
      </c>
      <c r="Z43" s="109">
        <f t="shared" si="2"/>
        <v>0.9204545454545455</v>
      </c>
      <c r="AA43" s="109">
        <f t="shared" si="2"/>
        <v>0.9204545454545455</v>
      </c>
      <c r="AB43" s="109">
        <f t="shared" si="2"/>
        <v>0.9204545454545455</v>
      </c>
      <c r="AC43" s="109">
        <f t="shared" si="2"/>
        <v>0.9204545454545455</v>
      </c>
      <c r="AD43" s="109">
        <f t="shared" si="2"/>
        <v>0.9204545454545455</v>
      </c>
      <c r="AE43" s="109">
        <f t="shared" si="2"/>
        <v>0.9204545454545455</v>
      </c>
      <c r="AF43" s="110">
        <f t="shared" si="2"/>
        <v>0.9204545454545455</v>
      </c>
    </row>
    <row r="44" spans="1:32" s="106" customFormat="1" ht="15.75" thickBot="1">
      <c r="A44" s="111"/>
      <c r="C44" s="112"/>
      <c r="D44" s="113"/>
      <c r="E44" s="104"/>
      <c r="F44" s="114" t="s">
        <v>35</v>
      </c>
      <c r="J44" s="11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</row>
    <row r="45" spans="1:6" s="28" customFormat="1" ht="15.75" thickBot="1">
      <c r="A45" s="26" t="s">
        <v>47</v>
      </c>
      <c r="B45" s="39"/>
      <c r="C45" s="29"/>
      <c r="D45" s="52">
        <v>0.1</v>
      </c>
      <c r="E45" s="41"/>
      <c r="F45" s="86" t="s">
        <v>35</v>
      </c>
    </row>
    <row r="46" spans="1:5" ht="18" thickBot="1">
      <c r="A46" s="42"/>
      <c r="D46" s="69"/>
      <c r="E46" s="25"/>
    </row>
    <row r="47" spans="1:5" s="28" customFormat="1" ht="15.75" thickBot="1">
      <c r="A47" s="26" t="s">
        <v>48</v>
      </c>
      <c r="B47" s="39"/>
      <c r="C47" s="29"/>
      <c r="D47" s="117">
        <f>(((($D$35+$D$38)/1.41*1000000*1000)/($D$32*365))*(1+$D$39))+(($D$43/1.41*1000000*1000)/($D$32*365))</f>
        <v>60.7717046595362</v>
      </c>
      <c r="E47" s="41" t="s">
        <v>49</v>
      </c>
    </row>
    <row r="48" spans="1:6" ht="18" thickBot="1">
      <c r="A48" s="118"/>
      <c r="B48" s="63"/>
      <c r="C48" s="64"/>
      <c r="D48" s="27"/>
      <c r="E48" s="119"/>
      <c r="F48" s="80"/>
    </row>
    <row r="49" spans="1:6" ht="18" thickBot="1">
      <c r="A49" s="7"/>
      <c r="D49" s="10"/>
      <c r="E49" s="80"/>
      <c r="F49" s="80"/>
    </row>
    <row r="50" spans="1:6" ht="17.25">
      <c r="A50" s="12"/>
      <c r="B50" s="13"/>
      <c r="C50" s="14"/>
      <c r="D50" s="15"/>
      <c r="E50" s="120"/>
      <c r="F50" s="80"/>
    </row>
    <row r="51" spans="1:6" s="127" customFormat="1" ht="24">
      <c r="A51" s="121" t="s">
        <v>50</v>
      </c>
      <c r="B51" s="122"/>
      <c r="C51" s="123"/>
      <c r="D51" s="124"/>
      <c r="E51" s="125"/>
      <c r="F51" s="126"/>
    </row>
    <row r="52" spans="1:6" s="134" customFormat="1" ht="21" thickBot="1">
      <c r="A52" s="128"/>
      <c r="B52" s="129"/>
      <c r="C52" s="130"/>
      <c r="D52" s="131"/>
      <c r="E52" s="132"/>
      <c r="F52" s="133"/>
    </row>
    <row r="53" spans="1:5" s="134" customFormat="1" ht="21" thickBot="1">
      <c r="A53" s="135" t="s">
        <v>51</v>
      </c>
      <c r="B53" s="129"/>
      <c r="C53" s="130"/>
      <c r="D53" s="136">
        <f>D14+D23</f>
        <v>145.7625</v>
      </c>
      <c r="E53" s="137" t="s">
        <v>8</v>
      </c>
    </row>
    <row r="54" spans="1:5" s="134" customFormat="1" ht="21" thickBot="1">
      <c r="A54" s="135" t="s">
        <v>52</v>
      </c>
      <c r="B54" s="138"/>
      <c r="C54" s="139"/>
      <c r="D54" s="140">
        <f>D18/(D24+D18)</f>
        <v>0.20581425263699513</v>
      </c>
      <c r="E54" s="141"/>
    </row>
    <row r="55" spans="1:5" s="143" customFormat="1" ht="21" thickBot="1">
      <c r="A55" s="135" t="s">
        <v>53</v>
      </c>
      <c r="B55" s="138"/>
      <c r="C55" s="139"/>
      <c r="D55" s="142">
        <f>-D134</f>
        <v>1.1794846414580842</v>
      </c>
      <c r="E55" s="137"/>
    </row>
    <row r="56" spans="1:5" s="143" customFormat="1" ht="21" thickBot="1">
      <c r="A56" s="135"/>
      <c r="B56" s="138"/>
      <c r="C56" s="139"/>
      <c r="D56" s="144"/>
      <c r="E56" s="137"/>
    </row>
    <row r="57" spans="1:6" s="143" customFormat="1" ht="21" thickBot="1">
      <c r="A57" s="135" t="s">
        <v>54</v>
      </c>
      <c r="B57" s="138"/>
      <c r="C57" s="139"/>
      <c r="D57" s="145">
        <f>D132</f>
        <v>0.1224128834873462</v>
      </c>
      <c r="E57" s="146"/>
      <c r="F57" s="147"/>
    </row>
    <row r="58" spans="1:6" s="143" customFormat="1" ht="21" thickBot="1">
      <c r="A58" s="135" t="s">
        <v>55</v>
      </c>
      <c r="B58" s="138"/>
      <c r="C58" s="139"/>
      <c r="D58" s="148">
        <f>D135</f>
        <v>13</v>
      </c>
      <c r="E58" s="149" t="s">
        <v>3</v>
      </c>
      <c r="F58" s="147"/>
    </row>
    <row r="59" spans="1:6" s="143" customFormat="1" ht="21" thickBot="1">
      <c r="A59" s="135"/>
      <c r="B59" s="138"/>
      <c r="C59" s="139"/>
      <c r="D59" s="150"/>
      <c r="E59" s="149"/>
      <c r="F59" s="147"/>
    </row>
    <row r="60" spans="1:7" s="143" customFormat="1" ht="21" thickBot="1">
      <c r="A60" s="135" t="s">
        <v>56</v>
      </c>
      <c r="B60" s="138"/>
      <c r="C60" s="139"/>
      <c r="D60" s="151">
        <f>($D$66*1000000)/1.4109*1000/($D$32*365*$D$28)</f>
        <v>296.9718289292704</v>
      </c>
      <c r="E60" s="137" t="s">
        <v>57</v>
      </c>
      <c r="F60" s="22">
        <f>SUM(D61:D63)</f>
        <v>296.9718289292703</v>
      </c>
      <c r="G60" s="22" t="str">
        <f>IF(D60=F60,"OK","ERROR")</f>
        <v>OK</v>
      </c>
    </row>
    <row r="61" spans="1:5" s="156" customFormat="1" ht="18.75" thickBot="1">
      <c r="A61" s="152" t="s">
        <v>58</v>
      </c>
      <c r="B61" s="153"/>
      <c r="C61" s="88"/>
      <c r="D61" s="154">
        <f>($D$68*1000000)/1.4109*1000/($D$32*365*$D$28)</f>
        <v>112.39546893705271</v>
      </c>
      <c r="E61" s="155" t="s">
        <v>57</v>
      </c>
    </row>
    <row r="62" spans="1:5" s="156" customFormat="1" ht="18.75" thickBot="1">
      <c r="A62" s="152" t="s">
        <v>59</v>
      </c>
      <c r="B62" s="153"/>
      <c r="C62" s="88"/>
      <c r="D62" s="154">
        <f>($D$67*1000000)/1.4109*1000/($D$32*365*$D$28)</f>
        <v>87.97311220494906</v>
      </c>
      <c r="E62" s="155" t="s">
        <v>57</v>
      </c>
    </row>
    <row r="63" spans="1:5" s="157" customFormat="1" ht="18.75" thickBot="1">
      <c r="A63" s="152" t="s">
        <v>60</v>
      </c>
      <c r="B63" s="6"/>
      <c r="D63" s="154">
        <f>($D$69*1000000)/1.4109*1000/($D$32*365*$D$28)</f>
        <v>96.60324778726856</v>
      </c>
      <c r="E63" s="155" t="s">
        <v>57</v>
      </c>
    </row>
    <row r="64" spans="1:6" s="143" customFormat="1" ht="20.25">
      <c r="A64" s="135"/>
      <c r="B64" s="138"/>
      <c r="C64" s="139"/>
      <c r="D64" s="158"/>
      <c r="E64" s="149"/>
      <c r="F64" s="147"/>
    </row>
    <row r="65" spans="1:6" s="164" customFormat="1" ht="15.75" thickBot="1">
      <c r="A65" s="26" t="s">
        <v>61</v>
      </c>
      <c r="B65" s="159"/>
      <c r="C65" s="160"/>
      <c r="D65" s="161"/>
      <c r="E65" s="162"/>
      <c r="F65" s="163"/>
    </row>
    <row r="66" spans="1:7" s="164" customFormat="1" ht="18" thickBot="1">
      <c r="A66" s="165" t="s">
        <v>62</v>
      </c>
      <c r="B66" s="166"/>
      <c r="C66" s="160"/>
      <c r="D66" s="117">
        <f>SUM(K101:AF101)</f>
        <v>504.68255311403243</v>
      </c>
      <c r="E66" s="162" t="s">
        <v>8</v>
      </c>
      <c r="F66" s="22">
        <f>SUM(D67:D69)</f>
        <v>504.68255311403243</v>
      </c>
      <c r="G66" s="22" t="str">
        <f>IF(D66=F66,"OK","ERROR")</f>
        <v>OK</v>
      </c>
    </row>
    <row r="67" spans="1:10" s="164" customFormat="1" ht="18" thickBot="1">
      <c r="A67" s="165" t="s">
        <v>63</v>
      </c>
      <c r="B67" s="166"/>
      <c r="C67" s="160"/>
      <c r="D67" s="117">
        <f>SUM(K130:AF130)</f>
        <v>149.5040625</v>
      </c>
      <c r="E67" s="162" t="s">
        <v>8</v>
      </c>
      <c r="F67" s="163"/>
      <c r="H67" s="167"/>
      <c r="J67" s="168"/>
    </row>
    <row r="68" spans="1:8" s="164" customFormat="1" ht="18" thickBot="1">
      <c r="A68" s="165" t="s">
        <v>64</v>
      </c>
      <c r="B68" s="166"/>
      <c r="C68" s="160"/>
      <c r="D68" s="117">
        <f>-SUM(K111:AF111)-SUM(K110:AF110)</f>
        <v>191.008125</v>
      </c>
      <c r="E68" s="162" t="s">
        <v>8</v>
      </c>
      <c r="F68" s="163"/>
      <c r="H68" s="169"/>
    </row>
    <row r="69" spans="1:8" s="164" customFormat="1" ht="18" thickBot="1">
      <c r="A69" s="165" t="s">
        <v>65</v>
      </c>
      <c r="B69" s="166"/>
      <c r="C69" s="160"/>
      <c r="D69" s="117">
        <f>-SUM(K112:AF112)-SUM(K113:AF113)-SUM(K114:AF114)-SUM(K119:AF119)</f>
        <v>164.17036561403242</v>
      </c>
      <c r="E69" s="162" t="s">
        <v>8</v>
      </c>
      <c r="F69" s="163"/>
      <c r="H69" s="106"/>
    </row>
    <row r="70" spans="1:6" s="164" customFormat="1" ht="15.75" thickBot="1">
      <c r="A70" s="26"/>
      <c r="B70" s="159"/>
      <c r="C70" s="160"/>
      <c r="D70" s="170"/>
      <c r="E70" s="162"/>
      <c r="F70" s="163"/>
    </row>
    <row r="71" spans="1:5" s="164" customFormat="1" ht="15.75" thickBot="1">
      <c r="A71" s="26" t="s">
        <v>66</v>
      </c>
      <c r="B71" s="159"/>
      <c r="C71" s="160"/>
      <c r="D71" s="52">
        <v>0.1</v>
      </c>
      <c r="E71" s="21"/>
    </row>
    <row r="72" spans="1:7" s="22" customFormat="1" ht="18" thickBot="1">
      <c r="A72" s="165" t="s">
        <v>67</v>
      </c>
      <c r="B72" s="18"/>
      <c r="C72" s="19"/>
      <c r="D72" s="171">
        <f>NPV($D$71,K101:AF101)</f>
        <v>213.24277152913496</v>
      </c>
      <c r="E72" s="172" t="s">
        <v>8</v>
      </c>
      <c r="F72" s="22">
        <f>SUM(D73:D75)</f>
        <v>213.24277152913496</v>
      </c>
      <c r="G72" s="22" t="str">
        <f>IF(D72=F72,"OK","ERROR")</f>
        <v>OK</v>
      </c>
    </row>
    <row r="73" spans="1:6" s="22" customFormat="1" ht="18" thickBot="1">
      <c r="A73" s="165" t="s">
        <v>68</v>
      </c>
      <c r="B73" s="18"/>
      <c r="C73" s="19"/>
      <c r="D73" s="171">
        <f>NPV($D$71,K130:AF130)</f>
        <v>40.22839227599248</v>
      </c>
      <c r="E73" s="172" t="s">
        <v>8</v>
      </c>
      <c r="F73" s="173"/>
    </row>
    <row r="74" spans="1:5" s="22" customFormat="1" ht="18" thickBot="1">
      <c r="A74" s="165" t="s">
        <v>69</v>
      </c>
      <c r="B74" s="18"/>
      <c r="C74" s="19"/>
      <c r="D74" s="171">
        <f>-NPV($D$71,K111:AF111)-NPV($D$71,K110:AF110)</f>
        <v>115.76249999999993</v>
      </c>
      <c r="E74" s="172" t="s">
        <v>8</v>
      </c>
    </row>
    <row r="75" spans="1:5" s="22" customFormat="1" ht="18" thickBot="1">
      <c r="A75" s="165" t="s">
        <v>70</v>
      </c>
      <c r="B75" s="18"/>
      <c r="C75" s="19"/>
      <c r="D75" s="171">
        <f>-NPV($D$71,K112:AF112)-NPV($D$71,K113:AF113)-NPV($D$71,K114:AF114)-NPV($D$71,K119:AF119)</f>
        <v>57.25187925314254</v>
      </c>
      <c r="E75" s="172" t="s">
        <v>8</v>
      </c>
    </row>
    <row r="76" spans="1:5" ht="18" thickBot="1">
      <c r="A76" s="174"/>
      <c r="B76" s="63"/>
      <c r="C76" s="64"/>
      <c r="D76" s="175"/>
      <c r="E76" s="66"/>
    </row>
    <row r="77" spans="1:2" s="156" customFormat="1" ht="18.75" thickBot="1">
      <c r="A77" s="176"/>
      <c r="B77" s="153"/>
    </row>
    <row r="78" spans="1:32" ht="16.5">
      <c r="A78" s="177"/>
      <c r="B78" s="177"/>
      <c r="C78" s="178" t="s">
        <v>71</v>
      </c>
      <c r="D78" s="179" t="s">
        <v>72</v>
      </c>
      <c r="E78" s="180" t="s">
        <v>6</v>
      </c>
      <c r="F78" s="181" t="s">
        <v>6</v>
      </c>
      <c r="G78" s="182">
        <v>2010</v>
      </c>
      <c r="H78" s="183">
        <v>2011</v>
      </c>
      <c r="I78" s="183">
        <v>2012</v>
      </c>
      <c r="J78" s="184">
        <v>2013</v>
      </c>
      <c r="K78" s="185">
        <v>2014</v>
      </c>
      <c r="L78" s="186">
        <v>2015</v>
      </c>
      <c r="M78" s="186">
        <v>2016</v>
      </c>
      <c r="N78" s="186">
        <v>2017</v>
      </c>
      <c r="O78" s="186">
        <v>2018</v>
      </c>
      <c r="P78" s="186">
        <v>2019</v>
      </c>
      <c r="Q78" s="186">
        <v>2020</v>
      </c>
      <c r="R78" s="186">
        <v>2021</v>
      </c>
      <c r="S78" s="186">
        <v>2022</v>
      </c>
      <c r="T78" s="186">
        <v>2023</v>
      </c>
      <c r="U78" s="186">
        <v>2024</v>
      </c>
      <c r="V78" s="187">
        <v>2025</v>
      </c>
      <c r="W78" s="186">
        <v>2026</v>
      </c>
      <c r="X78" s="186">
        <v>2027</v>
      </c>
      <c r="Y78" s="186">
        <v>2028</v>
      </c>
      <c r="Z78" s="186">
        <v>2029</v>
      </c>
      <c r="AA78" s="186">
        <v>2030</v>
      </c>
      <c r="AB78" s="186">
        <v>2031</v>
      </c>
      <c r="AC78" s="186">
        <v>2032</v>
      </c>
      <c r="AD78" s="186">
        <v>2033</v>
      </c>
      <c r="AE78" s="186">
        <v>2034</v>
      </c>
      <c r="AF78" s="187">
        <v>2035</v>
      </c>
    </row>
    <row r="79" spans="1:32" s="29" customFormat="1" ht="16.5">
      <c r="A79" s="188"/>
      <c r="B79" s="188"/>
      <c r="C79" s="189" t="s">
        <v>73</v>
      </c>
      <c r="D79" s="190" t="s">
        <v>6</v>
      </c>
      <c r="E79" s="29" t="s">
        <v>74</v>
      </c>
      <c r="F79" s="191" t="s">
        <v>75</v>
      </c>
      <c r="G79" s="192">
        <v>1</v>
      </c>
      <c r="H79" s="80">
        <v>2</v>
      </c>
      <c r="I79" s="80">
        <v>3</v>
      </c>
      <c r="J79" s="193">
        <v>4</v>
      </c>
      <c r="K79" s="194">
        <v>5</v>
      </c>
      <c r="L79" s="195">
        <v>6</v>
      </c>
      <c r="M79" s="195">
        <v>7</v>
      </c>
      <c r="N79" s="195">
        <v>8</v>
      </c>
      <c r="O79" s="195">
        <v>9</v>
      </c>
      <c r="P79" s="195">
        <v>10</v>
      </c>
      <c r="Q79" s="195">
        <v>11</v>
      </c>
      <c r="R79" s="195">
        <v>12</v>
      </c>
      <c r="S79" s="195">
        <v>13</v>
      </c>
      <c r="T79" s="195">
        <v>14</v>
      </c>
      <c r="U79" s="195">
        <v>15</v>
      </c>
      <c r="V79" s="196">
        <v>16</v>
      </c>
      <c r="W79" s="195">
        <v>17</v>
      </c>
      <c r="X79" s="195">
        <v>18</v>
      </c>
      <c r="Y79" s="195">
        <v>19</v>
      </c>
      <c r="Z79" s="195">
        <v>20</v>
      </c>
      <c r="AA79" s="195">
        <v>21</v>
      </c>
      <c r="AB79" s="195">
        <v>22</v>
      </c>
      <c r="AC79" s="195">
        <v>23</v>
      </c>
      <c r="AD79" s="195">
        <v>24</v>
      </c>
      <c r="AE79" s="195">
        <v>25</v>
      </c>
      <c r="AF79" s="196">
        <v>26</v>
      </c>
    </row>
    <row r="80" spans="1:32" s="29" customFormat="1" ht="17.25" thickBot="1">
      <c r="A80" s="188"/>
      <c r="B80" s="188"/>
      <c r="C80" s="197" t="s">
        <v>71</v>
      </c>
      <c r="D80" s="198" t="s">
        <v>76</v>
      </c>
      <c r="E80" s="199" t="s">
        <v>76</v>
      </c>
      <c r="F80" s="200" t="s">
        <v>76</v>
      </c>
      <c r="G80" s="201"/>
      <c r="H80" s="202">
        <v>0</v>
      </c>
      <c r="I80" s="202">
        <v>0</v>
      </c>
      <c r="J80" s="119">
        <v>0</v>
      </c>
      <c r="K80" s="203">
        <v>1</v>
      </c>
      <c r="L80" s="204">
        <v>2</v>
      </c>
      <c r="M80" s="204">
        <v>3</v>
      </c>
      <c r="N80" s="204">
        <v>4</v>
      </c>
      <c r="O80" s="204">
        <v>5</v>
      </c>
      <c r="P80" s="204">
        <v>6</v>
      </c>
      <c r="Q80" s="204">
        <v>7</v>
      </c>
      <c r="R80" s="204">
        <v>8</v>
      </c>
      <c r="S80" s="204">
        <v>9</v>
      </c>
      <c r="T80" s="204">
        <v>10</v>
      </c>
      <c r="U80" s="204">
        <v>11</v>
      </c>
      <c r="V80" s="205">
        <v>12</v>
      </c>
      <c r="W80" s="204">
        <v>13</v>
      </c>
      <c r="X80" s="204">
        <v>14</v>
      </c>
      <c r="Y80" s="204">
        <v>15</v>
      </c>
      <c r="Z80" s="204">
        <v>16</v>
      </c>
      <c r="AA80" s="204">
        <v>17</v>
      </c>
      <c r="AB80" s="204">
        <v>18</v>
      </c>
      <c r="AC80" s="204">
        <v>19</v>
      </c>
      <c r="AD80" s="204">
        <v>20</v>
      </c>
      <c r="AE80" s="204">
        <v>21</v>
      </c>
      <c r="AF80" s="205">
        <v>22</v>
      </c>
    </row>
    <row r="81" spans="1:32" s="29" customFormat="1" ht="17.25" thickBot="1">
      <c r="A81" s="206"/>
      <c r="B81" s="207"/>
      <c r="C81" s="178"/>
      <c r="D81" s="208"/>
      <c r="E81" s="208"/>
      <c r="F81" s="209"/>
      <c r="G81" s="210"/>
      <c r="H81" s="211"/>
      <c r="I81" s="211"/>
      <c r="J81" s="120"/>
      <c r="K81" s="194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6"/>
      <c r="W81" s="195"/>
      <c r="X81" s="195"/>
      <c r="Y81" s="195"/>
      <c r="Z81" s="195"/>
      <c r="AA81" s="195"/>
      <c r="AB81" s="195"/>
      <c r="AC81" s="195"/>
      <c r="AD81" s="195"/>
      <c r="AE81" s="195"/>
      <c r="AF81" s="196"/>
    </row>
    <row r="82" spans="1:32" s="160" customFormat="1" ht="15.75" thickBot="1">
      <c r="A82" s="212"/>
      <c r="B82" s="213"/>
      <c r="C82" s="214"/>
      <c r="D82" s="215"/>
      <c r="E82" s="216"/>
      <c r="F82" s="217"/>
      <c r="G82" s="218">
        <v>1</v>
      </c>
      <c r="H82" s="219">
        <f aca="true" t="shared" si="3" ref="H82:AF82">(1+$D$30)^H80</f>
        <v>1</v>
      </c>
      <c r="I82" s="219">
        <f t="shared" si="3"/>
        <v>1</v>
      </c>
      <c r="J82" s="220">
        <f t="shared" si="3"/>
        <v>1</v>
      </c>
      <c r="K82" s="218">
        <f t="shared" si="3"/>
        <v>1.03</v>
      </c>
      <c r="L82" s="219">
        <f t="shared" si="3"/>
        <v>1.0609</v>
      </c>
      <c r="M82" s="219">
        <f t="shared" si="3"/>
        <v>1.092727</v>
      </c>
      <c r="N82" s="219">
        <f t="shared" si="3"/>
        <v>1.12550881</v>
      </c>
      <c r="O82" s="219">
        <f t="shared" si="3"/>
        <v>1.1592740742999998</v>
      </c>
      <c r="P82" s="219">
        <f t="shared" si="3"/>
        <v>1.194052296529</v>
      </c>
      <c r="Q82" s="219">
        <f t="shared" si="3"/>
        <v>1.22987386542487</v>
      </c>
      <c r="R82" s="219">
        <f t="shared" si="3"/>
        <v>1.266770081387616</v>
      </c>
      <c r="S82" s="219">
        <f t="shared" si="3"/>
        <v>1.3047731838292445</v>
      </c>
      <c r="T82" s="219">
        <f t="shared" si="3"/>
        <v>1.3439163793441218</v>
      </c>
      <c r="U82" s="219">
        <f t="shared" si="3"/>
        <v>1.3842338707244455</v>
      </c>
      <c r="V82" s="220">
        <f t="shared" si="3"/>
        <v>1.4257608868461786</v>
      </c>
      <c r="W82" s="219">
        <f t="shared" si="3"/>
        <v>1.468533713451564</v>
      </c>
      <c r="X82" s="219">
        <f t="shared" si="3"/>
        <v>1.512589724855111</v>
      </c>
      <c r="Y82" s="219">
        <f t="shared" si="3"/>
        <v>1.5579674166007644</v>
      </c>
      <c r="Z82" s="219">
        <f t="shared" si="3"/>
        <v>1.604706439098787</v>
      </c>
      <c r="AA82" s="219">
        <f t="shared" si="3"/>
        <v>1.6528476322717507</v>
      </c>
      <c r="AB82" s="219">
        <f t="shared" si="3"/>
        <v>1.7024330612399032</v>
      </c>
      <c r="AC82" s="219">
        <f t="shared" si="3"/>
        <v>1.7535060530771003</v>
      </c>
      <c r="AD82" s="219">
        <f t="shared" si="3"/>
        <v>1.8061112346694133</v>
      </c>
      <c r="AE82" s="219">
        <f t="shared" si="3"/>
        <v>1.8602945717094954</v>
      </c>
      <c r="AF82" s="220">
        <f t="shared" si="3"/>
        <v>1.9161034088607805</v>
      </c>
    </row>
    <row r="83" spans="1:32" s="29" customFormat="1" ht="17.25" thickBot="1">
      <c r="A83" s="221"/>
      <c r="B83" s="222"/>
      <c r="C83" s="197"/>
      <c r="D83" s="223"/>
      <c r="E83" s="223"/>
      <c r="F83" s="224"/>
      <c r="G83" s="225"/>
      <c r="H83" s="226"/>
      <c r="I83" s="226"/>
      <c r="J83" s="227"/>
      <c r="K83" s="228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30"/>
      <c r="W83" s="229"/>
      <c r="X83" s="229"/>
      <c r="Y83" s="229"/>
      <c r="Z83" s="229"/>
      <c r="AA83" s="229"/>
      <c r="AB83" s="229"/>
      <c r="AC83" s="229"/>
      <c r="AD83" s="229"/>
      <c r="AE83" s="229"/>
      <c r="AF83" s="230"/>
    </row>
    <row r="84" spans="1:32" s="88" customFormat="1" ht="20.25">
      <c r="A84" s="231"/>
      <c r="B84" s="231"/>
      <c r="C84" s="232" t="s">
        <v>77</v>
      </c>
      <c r="D84" s="233"/>
      <c r="E84" s="234"/>
      <c r="F84" s="235"/>
      <c r="G84" s="236"/>
      <c r="H84" s="237"/>
      <c r="I84" s="237"/>
      <c r="J84" s="238"/>
      <c r="K84" s="239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1"/>
      <c r="W84" s="240"/>
      <c r="X84" s="240"/>
      <c r="Y84" s="240"/>
      <c r="Z84" s="240"/>
      <c r="AA84" s="240"/>
      <c r="AB84" s="240"/>
      <c r="AC84" s="240"/>
      <c r="AD84" s="240"/>
      <c r="AE84" s="240"/>
      <c r="AF84" s="241"/>
    </row>
    <row r="85" spans="1:32" ht="16.5">
      <c r="A85" s="188"/>
      <c r="B85" s="188"/>
      <c r="C85" s="242"/>
      <c r="D85" s="225"/>
      <c r="E85" s="226"/>
      <c r="F85" s="227"/>
      <c r="G85" s="225"/>
      <c r="H85" s="226"/>
      <c r="I85" s="226"/>
      <c r="J85" s="227"/>
      <c r="K85" s="243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  <c r="W85" s="244"/>
      <c r="X85" s="244"/>
      <c r="Y85" s="244"/>
      <c r="Z85" s="244"/>
      <c r="AA85" s="244"/>
      <c r="AB85" s="244"/>
      <c r="AC85" s="244"/>
      <c r="AD85" s="244"/>
      <c r="AE85" s="244"/>
      <c r="AF85" s="245"/>
    </row>
    <row r="86" spans="1:32" s="88" customFormat="1" ht="18">
      <c r="A86" s="246"/>
      <c r="B86" s="246"/>
      <c r="C86" s="247" t="s">
        <v>78</v>
      </c>
      <c r="D86" s="248">
        <f aca="true" t="shared" si="4" ref="D86:J86">SUM(D87:D92)</f>
        <v>-145.7625</v>
      </c>
      <c r="E86" s="249">
        <f t="shared" si="4"/>
        <v>-145.7625</v>
      </c>
      <c r="F86" s="250">
        <f t="shared" si="4"/>
        <v>0</v>
      </c>
      <c r="G86" s="251">
        <f t="shared" si="4"/>
        <v>-27</v>
      </c>
      <c r="H86" s="252">
        <f t="shared" si="4"/>
        <v>-54</v>
      </c>
      <c r="I86" s="252">
        <f t="shared" si="4"/>
        <v>-52.5</v>
      </c>
      <c r="J86" s="253">
        <f t="shared" si="4"/>
        <v>-12.2625</v>
      </c>
      <c r="K86" s="254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6"/>
      <c r="W86" s="255"/>
      <c r="X86" s="255"/>
      <c r="Y86" s="255"/>
      <c r="Z86" s="255"/>
      <c r="AA86" s="255"/>
      <c r="AB86" s="255"/>
      <c r="AC86" s="255"/>
      <c r="AD86" s="255"/>
      <c r="AE86" s="255"/>
      <c r="AF86" s="256"/>
    </row>
    <row r="87" spans="1:32" ht="16.5">
      <c r="A87" s="257"/>
      <c r="B87" s="257"/>
      <c r="C87" s="258" t="s">
        <v>7</v>
      </c>
      <c r="D87" s="259">
        <f aca="true" t="shared" si="5" ref="D87:D92">SUM(G87:AF87)</f>
        <v>-10</v>
      </c>
      <c r="E87" s="260">
        <f aca="true" t="shared" si="6" ref="E87:E92">SUM(G87:J87)</f>
        <v>-10</v>
      </c>
      <c r="F87" s="261">
        <f aca="true" t="shared" si="7" ref="F87:F92">SUM(K87:AF87)</f>
        <v>0</v>
      </c>
      <c r="G87" s="262">
        <f aca="true" t="shared" si="8" ref="G87:J91">-$D9*G9</f>
        <v>-2</v>
      </c>
      <c r="H87" s="263">
        <f t="shared" si="8"/>
        <v>-4</v>
      </c>
      <c r="I87" s="263">
        <f t="shared" si="8"/>
        <v>-3.5</v>
      </c>
      <c r="J87" s="264">
        <f t="shared" si="8"/>
        <v>-0.5</v>
      </c>
      <c r="K87" s="265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7"/>
      <c r="W87" s="266"/>
      <c r="X87" s="266"/>
      <c r="Y87" s="266"/>
      <c r="Z87" s="266"/>
      <c r="AA87" s="266"/>
      <c r="AB87" s="266"/>
      <c r="AC87" s="266"/>
      <c r="AD87" s="266"/>
      <c r="AE87" s="266"/>
      <c r="AF87" s="267"/>
    </row>
    <row r="88" spans="1:32" ht="16.5">
      <c r="A88" s="257"/>
      <c r="B88" s="257"/>
      <c r="C88" s="258" t="s">
        <v>9</v>
      </c>
      <c r="D88" s="259">
        <f t="shared" si="5"/>
        <v>-15</v>
      </c>
      <c r="E88" s="260">
        <f t="shared" si="6"/>
        <v>-15</v>
      </c>
      <c r="F88" s="261">
        <f t="shared" si="7"/>
        <v>0</v>
      </c>
      <c r="G88" s="262">
        <f t="shared" si="8"/>
        <v>-3</v>
      </c>
      <c r="H88" s="263">
        <f t="shared" si="8"/>
        <v>-6</v>
      </c>
      <c r="I88" s="263">
        <f t="shared" si="8"/>
        <v>-5.25</v>
      </c>
      <c r="J88" s="264">
        <f t="shared" si="8"/>
        <v>-0.75</v>
      </c>
      <c r="K88" s="265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7"/>
      <c r="W88" s="266"/>
      <c r="X88" s="266"/>
      <c r="Y88" s="266"/>
      <c r="Z88" s="266"/>
      <c r="AA88" s="266"/>
      <c r="AB88" s="266"/>
      <c r="AC88" s="266"/>
      <c r="AD88" s="266"/>
      <c r="AE88" s="266"/>
      <c r="AF88" s="267"/>
    </row>
    <row r="89" spans="1:32" ht="16.5">
      <c r="A89" s="257"/>
      <c r="B89" s="257"/>
      <c r="C89" s="258" t="s">
        <v>10</v>
      </c>
      <c r="D89" s="259">
        <f t="shared" si="5"/>
        <v>-5</v>
      </c>
      <c r="E89" s="260">
        <f t="shared" si="6"/>
        <v>-5</v>
      </c>
      <c r="F89" s="261">
        <f t="shared" si="7"/>
        <v>0</v>
      </c>
      <c r="G89" s="262">
        <f t="shared" si="8"/>
        <v>-1</v>
      </c>
      <c r="H89" s="263">
        <f t="shared" si="8"/>
        <v>-2</v>
      </c>
      <c r="I89" s="263">
        <f t="shared" si="8"/>
        <v>-1.75</v>
      </c>
      <c r="J89" s="264">
        <f t="shared" si="8"/>
        <v>-0.25</v>
      </c>
      <c r="K89" s="265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7"/>
      <c r="W89" s="266"/>
      <c r="X89" s="266"/>
      <c r="Y89" s="266"/>
      <c r="Z89" s="266"/>
      <c r="AA89" s="266"/>
      <c r="AB89" s="266"/>
      <c r="AC89" s="266"/>
      <c r="AD89" s="266"/>
      <c r="AE89" s="266"/>
      <c r="AF89" s="267"/>
    </row>
    <row r="90" spans="1:32" ht="16.5">
      <c r="A90" s="257"/>
      <c r="B90" s="257"/>
      <c r="C90" s="258" t="s">
        <v>11</v>
      </c>
      <c r="D90" s="259">
        <f t="shared" si="5"/>
        <v>-100</v>
      </c>
      <c r="E90" s="260">
        <f t="shared" si="6"/>
        <v>-100</v>
      </c>
      <c r="F90" s="261">
        <f t="shared" si="7"/>
        <v>0</v>
      </c>
      <c r="G90" s="262">
        <f t="shared" si="8"/>
        <v>-20</v>
      </c>
      <c r="H90" s="263">
        <f t="shared" si="8"/>
        <v>-40</v>
      </c>
      <c r="I90" s="263">
        <f t="shared" si="8"/>
        <v>-35</v>
      </c>
      <c r="J90" s="264">
        <f t="shared" si="8"/>
        <v>-5</v>
      </c>
      <c r="K90" s="265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7"/>
      <c r="W90" s="266"/>
      <c r="X90" s="266"/>
      <c r="Y90" s="266"/>
      <c r="Z90" s="266"/>
      <c r="AA90" s="266"/>
      <c r="AB90" s="266"/>
      <c r="AC90" s="266"/>
      <c r="AD90" s="266"/>
      <c r="AE90" s="266"/>
      <c r="AF90" s="267"/>
    </row>
    <row r="91" spans="1:32" ht="16.5">
      <c r="A91" s="257"/>
      <c r="B91" s="257"/>
      <c r="C91" s="242" t="s">
        <v>12</v>
      </c>
      <c r="D91" s="259">
        <f t="shared" si="5"/>
        <v>-5</v>
      </c>
      <c r="E91" s="260">
        <f t="shared" si="6"/>
        <v>-5</v>
      </c>
      <c r="F91" s="261">
        <f t="shared" si="7"/>
        <v>0</v>
      </c>
      <c r="G91" s="262">
        <f t="shared" si="8"/>
        <v>-1</v>
      </c>
      <c r="H91" s="263">
        <f t="shared" si="8"/>
        <v>-2</v>
      </c>
      <c r="I91" s="263">
        <f t="shared" si="8"/>
        <v>-1.75</v>
      </c>
      <c r="J91" s="264">
        <f t="shared" si="8"/>
        <v>-0.25</v>
      </c>
      <c r="K91" s="268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70"/>
      <c r="W91" s="269"/>
      <c r="X91" s="269"/>
      <c r="Y91" s="269"/>
      <c r="Z91" s="269"/>
      <c r="AA91" s="269"/>
      <c r="AB91" s="269"/>
      <c r="AC91" s="269"/>
      <c r="AD91" s="269"/>
      <c r="AE91" s="269"/>
      <c r="AF91" s="270"/>
    </row>
    <row r="92" spans="1:32" ht="16.5">
      <c r="A92" s="271"/>
      <c r="B92" s="257"/>
      <c r="C92" s="242" t="s">
        <v>79</v>
      </c>
      <c r="D92" s="259">
        <f t="shared" si="5"/>
        <v>-10.7625</v>
      </c>
      <c r="E92" s="260">
        <f t="shared" si="6"/>
        <v>-10.7625</v>
      </c>
      <c r="F92" s="261">
        <f t="shared" si="7"/>
        <v>0</v>
      </c>
      <c r="G92" s="262">
        <f>-G23</f>
        <v>0</v>
      </c>
      <c r="H92" s="263">
        <f>-H23</f>
        <v>0</v>
      </c>
      <c r="I92" s="263">
        <f>-I23</f>
        <v>-5.25</v>
      </c>
      <c r="J92" s="264">
        <f>-J23</f>
        <v>-5.5125</v>
      </c>
      <c r="K92" s="268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70"/>
      <c r="W92" s="269"/>
      <c r="X92" s="269"/>
      <c r="Y92" s="269"/>
      <c r="Z92" s="269"/>
      <c r="AA92" s="269"/>
      <c r="AB92" s="269"/>
      <c r="AC92" s="269"/>
      <c r="AD92" s="269"/>
      <c r="AE92" s="269"/>
      <c r="AF92" s="270"/>
    </row>
    <row r="93" spans="1:32" s="29" customFormat="1" ht="16.5">
      <c r="A93" s="188"/>
      <c r="B93" s="188"/>
      <c r="C93" s="272"/>
      <c r="D93" s="273"/>
      <c r="E93" s="274"/>
      <c r="F93" s="275"/>
      <c r="G93" s="225"/>
      <c r="H93" s="226"/>
      <c r="I93" s="226"/>
      <c r="J93" s="227"/>
      <c r="K93" s="265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7"/>
      <c r="W93" s="266"/>
      <c r="X93" s="266"/>
      <c r="Y93" s="266"/>
      <c r="Z93" s="266"/>
      <c r="AA93" s="266"/>
      <c r="AB93" s="266"/>
      <c r="AC93" s="266"/>
      <c r="AD93" s="266"/>
      <c r="AE93" s="266"/>
      <c r="AF93" s="267"/>
    </row>
    <row r="94" spans="1:32" s="88" customFormat="1" ht="18">
      <c r="A94" s="246"/>
      <c r="B94" s="246"/>
      <c r="C94" s="247" t="s">
        <v>80</v>
      </c>
      <c r="D94" s="276">
        <f>SUM(G94:AF94)</f>
        <v>145.7625</v>
      </c>
      <c r="E94" s="277">
        <f>SUM(G94:J94)</f>
        <v>145.7625</v>
      </c>
      <c r="F94" s="278">
        <f>SUM(K94:AF94)</f>
        <v>0</v>
      </c>
      <c r="G94" s="279">
        <f>SUM(G95:G97)</f>
        <v>0</v>
      </c>
      <c r="H94" s="280">
        <f>SUM(H95:H97)</f>
        <v>0</v>
      </c>
      <c r="I94" s="280">
        <f>SUM(I95:I97)</f>
        <v>72.88125</v>
      </c>
      <c r="J94" s="281">
        <f>SUM(J95:J97)</f>
        <v>72.88125</v>
      </c>
      <c r="K94" s="282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4"/>
      <c r="W94" s="283"/>
      <c r="X94" s="283"/>
      <c r="Y94" s="283"/>
      <c r="Z94" s="283"/>
      <c r="AA94" s="283"/>
      <c r="AB94" s="283"/>
      <c r="AC94" s="283"/>
      <c r="AD94" s="283"/>
      <c r="AE94" s="283"/>
      <c r="AF94" s="284"/>
    </row>
    <row r="95" spans="1:32" ht="16.5">
      <c r="A95" s="257"/>
      <c r="B95" s="257"/>
      <c r="C95" s="242" t="s">
        <v>81</v>
      </c>
      <c r="D95" s="259">
        <f>SUM(G95:AF95)</f>
        <v>0</v>
      </c>
      <c r="E95" s="260">
        <f>SUM(G95:J95)</f>
        <v>0</v>
      </c>
      <c r="F95" s="261">
        <f>SUM(K95:AF95)</f>
        <v>0</v>
      </c>
      <c r="G95" s="262">
        <f aca="true" t="shared" si="9" ref="G95:J96">$D17*G17</f>
        <v>0</v>
      </c>
      <c r="H95" s="263">
        <f t="shared" si="9"/>
        <v>0</v>
      </c>
      <c r="I95" s="263">
        <f t="shared" si="9"/>
        <v>0</v>
      </c>
      <c r="J95" s="264">
        <f t="shared" si="9"/>
        <v>0</v>
      </c>
      <c r="K95" s="243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5"/>
      <c r="W95" s="244"/>
      <c r="X95" s="244"/>
      <c r="Y95" s="244"/>
      <c r="Z95" s="244"/>
      <c r="AA95" s="244"/>
      <c r="AB95" s="244"/>
      <c r="AC95" s="244"/>
      <c r="AD95" s="244"/>
      <c r="AE95" s="244"/>
      <c r="AF95" s="245"/>
    </row>
    <row r="96" spans="1:32" ht="16.5">
      <c r="A96" s="285"/>
      <c r="B96" s="257"/>
      <c r="C96" s="242" t="s">
        <v>82</v>
      </c>
      <c r="D96" s="259">
        <f>SUM(G96:AF96)</f>
        <v>30</v>
      </c>
      <c r="E96" s="260">
        <f>SUM(G96:J96)</f>
        <v>30</v>
      </c>
      <c r="F96" s="261">
        <f>SUM(K96:AF96)</f>
        <v>0</v>
      </c>
      <c r="G96" s="262">
        <f t="shared" si="9"/>
        <v>0</v>
      </c>
      <c r="H96" s="263">
        <f t="shared" si="9"/>
        <v>0</v>
      </c>
      <c r="I96" s="263">
        <f t="shared" si="9"/>
        <v>15</v>
      </c>
      <c r="J96" s="264">
        <f t="shared" si="9"/>
        <v>15</v>
      </c>
      <c r="K96" s="243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5"/>
      <c r="W96" s="244"/>
      <c r="X96" s="244"/>
      <c r="Y96" s="244"/>
      <c r="Z96" s="244"/>
      <c r="AA96" s="244"/>
      <c r="AB96" s="244"/>
      <c r="AC96" s="244"/>
      <c r="AD96" s="244"/>
      <c r="AE96" s="244"/>
      <c r="AF96" s="245"/>
    </row>
    <row r="97" spans="1:32" ht="16.5">
      <c r="A97" s="286"/>
      <c r="B97" s="257"/>
      <c r="C97" s="242" t="s">
        <v>83</v>
      </c>
      <c r="D97" s="259">
        <f>SUM(G97:AF97)</f>
        <v>115.7625</v>
      </c>
      <c r="E97" s="260">
        <f>SUM(G97:J97)</f>
        <v>115.7625</v>
      </c>
      <c r="F97" s="261">
        <f>SUM(K97:AF97)</f>
        <v>0</v>
      </c>
      <c r="G97" s="262">
        <f>$D24*G22</f>
        <v>0</v>
      </c>
      <c r="H97" s="263">
        <f>$D24*H22</f>
        <v>0</v>
      </c>
      <c r="I97" s="263">
        <f>$D24*I22</f>
        <v>57.88125</v>
      </c>
      <c r="J97" s="264">
        <f>$D24*J22</f>
        <v>57.88125</v>
      </c>
      <c r="K97" s="243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5"/>
      <c r="W97" s="244"/>
      <c r="X97" s="244"/>
      <c r="Y97" s="244"/>
      <c r="Z97" s="244"/>
      <c r="AA97" s="244"/>
      <c r="AB97" s="244"/>
      <c r="AC97" s="244"/>
      <c r="AD97" s="244"/>
      <c r="AE97" s="244"/>
      <c r="AF97" s="245"/>
    </row>
    <row r="98" spans="1:32" ht="17.25" thickBot="1">
      <c r="A98" s="257"/>
      <c r="B98" s="257"/>
      <c r="C98" s="242"/>
      <c r="D98" s="225"/>
      <c r="E98" s="226"/>
      <c r="F98" s="227"/>
      <c r="G98" s="287"/>
      <c r="H98" s="288"/>
      <c r="I98" s="288"/>
      <c r="J98" s="289"/>
      <c r="K98" s="290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2"/>
      <c r="W98" s="269"/>
      <c r="X98" s="269"/>
      <c r="Y98" s="269"/>
      <c r="Z98" s="269"/>
      <c r="AA98" s="269"/>
      <c r="AB98" s="269"/>
      <c r="AC98" s="269"/>
      <c r="AD98" s="269"/>
      <c r="AE98" s="269"/>
      <c r="AF98" s="270"/>
    </row>
    <row r="99" spans="1:32" s="5" customFormat="1" ht="20.25">
      <c r="A99" s="293"/>
      <c r="B99" s="293"/>
      <c r="C99" s="294" t="s">
        <v>84</v>
      </c>
      <c r="D99" s="236"/>
      <c r="E99" s="237"/>
      <c r="F99" s="238"/>
      <c r="G99" s="236"/>
      <c r="H99" s="237"/>
      <c r="I99" s="237"/>
      <c r="J99" s="238"/>
      <c r="K99" s="295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7"/>
      <c r="W99" s="296"/>
      <c r="X99" s="296"/>
      <c r="Y99" s="296"/>
      <c r="Z99" s="296"/>
      <c r="AA99" s="296"/>
      <c r="AB99" s="296"/>
      <c r="AC99" s="296"/>
      <c r="AD99" s="296"/>
      <c r="AE99" s="296"/>
      <c r="AF99" s="297"/>
    </row>
    <row r="100" spans="1:32" ht="16.5">
      <c r="A100" s="257"/>
      <c r="B100" s="257"/>
      <c r="C100" s="298"/>
      <c r="D100" s="225"/>
      <c r="E100" s="226"/>
      <c r="F100" s="227"/>
      <c r="G100" s="225"/>
      <c r="H100" s="226"/>
      <c r="I100" s="226"/>
      <c r="J100" s="227"/>
      <c r="K100" s="299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1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1"/>
    </row>
    <row r="101" spans="1:32" s="156" customFormat="1" ht="18">
      <c r="A101" s="246"/>
      <c r="B101" s="246"/>
      <c r="C101" s="247" t="s">
        <v>85</v>
      </c>
      <c r="D101" s="248">
        <f aca="true" t="shared" si="10" ref="D101:D107">SUM(G101:AF101)</f>
        <v>504.68255311403243</v>
      </c>
      <c r="E101" s="249">
        <f aca="true" t="shared" si="11" ref="E101:E107">SUM(G101:J101)</f>
        <v>0</v>
      </c>
      <c r="F101" s="250">
        <f aca="true" t="shared" si="12" ref="F101:F107">SUM(K101:AF101)</f>
        <v>504.68255311403243</v>
      </c>
      <c r="G101" s="302"/>
      <c r="H101" s="303"/>
      <c r="I101" s="303"/>
      <c r="J101" s="304"/>
      <c r="K101" s="305">
        <f aca="true" t="shared" si="13" ref="K101:AF101">SUM(K102:K107)</f>
        <v>28.782564107840916</v>
      </c>
      <c r="L101" s="306">
        <f t="shared" si="13"/>
        <v>27.962841599257953</v>
      </c>
      <c r="M101" s="306">
        <f t="shared" si="13"/>
        <v>27.147468040417515</v>
      </c>
      <c r="N101" s="306">
        <f t="shared" si="13"/>
        <v>26.336573899811853</v>
      </c>
      <c r="O101" s="306">
        <f t="shared" si="13"/>
        <v>25.53029355998803</v>
      </c>
      <c r="P101" s="306">
        <f t="shared" si="13"/>
        <v>24.728765434969485</v>
      </c>
      <c r="Q101" s="306">
        <f t="shared" si="13"/>
        <v>23.93213209120039</v>
      </c>
      <c r="R101" s="306">
        <f t="shared" si="13"/>
        <v>23.140540372118217</v>
      </c>
      <c r="S101" s="306">
        <f t="shared" si="13"/>
        <v>22.354141526463586</v>
      </c>
      <c r="T101" s="306">
        <f t="shared" si="13"/>
        <v>21.573091340439312</v>
      </c>
      <c r="U101" s="306">
        <f t="shared" si="13"/>
        <v>20.79755027383431</v>
      </c>
      <c r="V101" s="307">
        <f t="shared" si="13"/>
        <v>20.027683600231157</v>
      </c>
      <c r="W101" s="306">
        <f t="shared" si="13"/>
        <v>20.228349051419908</v>
      </c>
      <c r="X101" s="306">
        <f t="shared" si="13"/>
        <v>20.435034466144323</v>
      </c>
      <c r="Y101" s="306">
        <f t="shared" si="13"/>
        <v>20.647920443310472</v>
      </c>
      <c r="Z101" s="306">
        <f t="shared" si="13"/>
        <v>20.867192999791605</v>
      </c>
      <c r="AA101" s="306">
        <f t="shared" si="13"/>
        <v>21.09304373296717</v>
      </c>
      <c r="AB101" s="306">
        <f t="shared" si="13"/>
        <v>21.325669988138003</v>
      </c>
      <c r="AC101" s="306">
        <f t="shared" si="13"/>
        <v>21.565275030963964</v>
      </c>
      <c r="AD101" s="306">
        <f t="shared" si="13"/>
        <v>21.8120682250747</v>
      </c>
      <c r="AE101" s="306">
        <f t="shared" si="13"/>
        <v>22.066265215008755</v>
      </c>
      <c r="AF101" s="307">
        <f t="shared" si="13"/>
        <v>22.328088114640842</v>
      </c>
    </row>
    <row r="102" spans="1:34" ht="16.5">
      <c r="A102" s="271"/>
      <c r="B102" s="308"/>
      <c r="C102" s="242" t="s">
        <v>86</v>
      </c>
      <c r="D102" s="259">
        <f t="shared" si="10"/>
        <v>59.99999999999999</v>
      </c>
      <c r="E102" s="260">
        <f t="shared" si="11"/>
        <v>0</v>
      </c>
      <c r="F102" s="261">
        <f t="shared" si="12"/>
        <v>59.99999999999999</v>
      </c>
      <c r="G102" s="225"/>
      <c r="H102" s="226"/>
      <c r="I102" s="226"/>
      <c r="J102" s="227"/>
      <c r="K102" s="262">
        <f aca="true" t="shared" si="14" ref="K102:AF102">$D$18*$D$19/22</f>
        <v>2.727272727272727</v>
      </c>
      <c r="L102" s="263">
        <f t="shared" si="14"/>
        <v>2.727272727272727</v>
      </c>
      <c r="M102" s="263">
        <f t="shared" si="14"/>
        <v>2.727272727272727</v>
      </c>
      <c r="N102" s="263">
        <f t="shared" si="14"/>
        <v>2.727272727272727</v>
      </c>
      <c r="O102" s="263">
        <f t="shared" si="14"/>
        <v>2.727272727272727</v>
      </c>
      <c r="P102" s="263">
        <f t="shared" si="14"/>
        <v>2.727272727272727</v>
      </c>
      <c r="Q102" s="263">
        <f t="shared" si="14"/>
        <v>2.727272727272727</v>
      </c>
      <c r="R102" s="263">
        <f t="shared" si="14"/>
        <v>2.727272727272727</v>
      </c>
      <c r="S102" s="263">
        <f t="shared" si="14"/>
        <v>2.727272727272727</v>
      </c>
      <c r="T102" s="263">
        <f t="shared" si="14"/>
        <v>2.727272727272727</v>
      </c>
      <c r="U102" s="263">
        <f t="shared" si="14"/>
        <v>2.727272727272727</v>
      </c>
      <c r="V102" s="264">
        <f t="shared" si="14"/>
        <v>2.727272727272727</v>
      </c>
      <c r="W102" s="263">
        <f t="shared" si="14"/>
        <v>2.727272727272727</v>
      </c>
      <c r="X102" s="263">
        <f t="shared" si="14"/>
        <v>2.727272727272727</v>
      </c>
      <c r="Y102" s="263">
        <f t="shared" si="14"/>
        <v>2.727272727272727</v>
      </c>
      <c r="Z102" s="263">
        <f t="shared" si="14"/>
        <v>2.727272727272727</v>
      </c>
      <c r="AA102" s="263">
        <f t="shared" si="14"/>
        <v>2.727272727272727</v>
      </c>
      <c r="AB102" s="263">
        <f t="shared" si="14"/>
        <v>2.727272727272727</v>
      </c>
      <c r="AC102" s="263">
        <f t="shared" si="14"/>
        <v>2.727272727272727</v>
      </c>
      <c r="AD102" s="263">
        <f t="shared" si="14"/>
        <v>2.727272727272727</v>
      </c>
      <c r="AE102" s="263">
        <f t="shared" si="14"/>
        <v>2.727272727272727</v>
      </c>
      <c r="AF102" s="264">
        <f t="shared" si="14"/>
        <v>2.727272727272727</v>
      </c>
      <c r="AG102" s="195"/>
      <c r="AH102" s="195"/>
    </row>
    <row r="103" spans="1:34" ht="16.5">
      <c r="A103" s="257"/>
      <c r="B103" s="257"/>
      <c r="C103" s="242" t="s">
        <v>87</v>
      </c>
      <c r="D103" s="259">
        <f t="shared" si="10"/>
        <v>212.23124999999993</v>
      </c>
      <c r="E103" s="260">
        <f t="shared" si="11"/>
        <v>0</v>
      </c>
      <c r="F103" s="261">
        <f t="shared" si="12"/>
        <v>212.23124999999993</v>
      </c>
      <c r="G103" s="225"/>
      <c r="H103" s="226"/>
      <c r="I103" s="226"/>
      <c r="J103" s="227"/>
      <c r="K103" s="309">
        <f aca="true" t="shared" si="15" ref="K103:Z107">-K110</f>
        <v>9.646875</v>
      </c>
      <c r="L103" s="310">
        <f t="shared" si="15"/>
        <v>9.646875</v>
      </c>
      <c r="M103" s="310">
        <f t="shared" si="15"/>
        <v>9.646875</v>
      </c>
      <c r="N103" s="310">
        <f t="shared" si="15"/>
        <v>9.646875</v>
      </c>
      <c r="O103" s="310">
        <f t="shared" si="15"/>
        <v>9.646875</v>
      </c>
      <c r="P103" s="310">
        <f t="shared" si="15"/>
        <v>9.646875</v>
      </c>
      <c r="Q103" s="310">
        <f t="shared" si="15"/>
        <v>9.646875</v>
      </c>
      <c r="R103" s="310">
        <f t="shared" si="15"/>
        <v>9.646875</v>
      </c>
      <c r="S103" s="310">
        <f t="shared" si="15"/>
        <v>9.646875</v>
      </c>
      <c r="T103" s="310">
        <f t="shared" si="15"/>
        <v>9.646875</v>
      </c>
      <c r="U103" s="310">
        <f t="shared" si="15"/>
        <v>9.646875</v>
      </c>
      <c r="V103" s="311">
        <f t="shared" si="15"/>
        <v>9.646875</v>
      </c>
      <c r="W103" s="312">
        <f aca="true" t="shared" si="16" ref="W103:AF104">V103</f>
        <v>9.646875</v>
      </c>
      <c r="X103" s="312">
        <f t="shared" si="16"/>
        <v>9.646875</v>
      </c>
      <c r="Y103" s="312">
        <f t="shared" si="16"/>
        <v>9.646875</v>
      </c>
      <c r="Z103" s="312">
        <f t="shared" si="16"/>
        <v>9.646875</v>
      </c>
      <c r="AA103" s="312">
        <f t="shared" si="16"/>
        <v>9.646875</v>
      </c>
      <c r="AB103" s="312">
        <f t="shared" si="16"/>
        <v>9.646875</v>
      </c>
      <c r="AC103" s="312">
        <f t="shared" si="16"/>
        <v>9.646875</v>
      </c>
      <c r="AD103" s="312">
        <f t="shared" si="16"/>
        <v>9.646875</v>
      </c>
      <c r="AE103" s="312">
        <f t="shared" si="16"/>
        <v>9.646875</v>
      </c>
      <c r="AF103" s="313">
        <f t="shared" si="16"/>
        <v>9.646875</v>
      </c>
      <c r="AG103" s="195"/>
      <c r="AH103" s="195"/>
    </row>
    <row r="104" spans="1:34" ht="16.5">
      <c r="A104" s="271"/>
      <c r="B104" s="308"/>
      <c r="C104" s="242" t="s">
        <v>88</v>
      </c>
      <c r="D104" s="259">
        <f t="shared" si="10"/>
        <v>84.89249999999998</v>
      </c>
      <c r="E104" s="260">
        <f t="shared" si="11"/>
        <v>0</v>
      </c>
      <c r="F104" s="261">
        <f t="shared" si="12"/>
        <v>84.89249999999998</v>
      </c>
      <c r="G104" s="225"/>
      <c r="H104" s="226"/>
      <c r="I104" s="226"/>
      <c r="J104" s="227"/>
      <c r="K104" s="309">
        <f t="shared" si="15"/>
        <v>11.576250000000002</v>
      </c>
      <c r="L104" s="310">
        <f t="shared" si="15"/>
        <v>10.611562500000002</v>
      </c>
      <c r="M104" s="310">
        <f t="shared" si="15"/>
        <v>9.646875000000001</v>
      </c>
      <c r="N104" s="310">
        <f t="shared" si="15"/>
        <v>8.682187500000001</v>
      </c>
      <c r="O104" s="310">
        <f t="shared" si="15"/>
        <v>7.717500000000001</v>
      </c>
      <c r="P104" s="310">
        <f t="shared" si="15"/>
        <v>6.752812500000001</v>
      </c>
      <c r="Q104" s="310">
        <f t="shared" si="15"/>
        <v>5.788125000000001</v>
      </c>
      <c r="R104" s="310">
        <f t="shared" si="15"/>
        <v>4.823437500000001</v>
      </c>
      <c r="S104" s="310">
        <f t="shared" si="15"/>
        <v>3.8587500000000006</v>
      </c>
      <c r="T104" s="310">
        <f t="shared" si="15"/>
        <v>2.8940625000000013</v>
      </c>
      <c r="U104" s="310">
        <f t="shared" si="15"/>
        <v>1.9293750000000018</v>
      </c>
      <c r="V104" s="311">
        <f t="shared" si="15"/>
        <v>0.9646875000000024</v>
      </c>
      <c r="W104" s="312">
        <f t="shared" si="16"/>
        <v>0.9646875000000024</v>
      </c>
      <c r="X104" s="312">
        <f t="shared" si="16"/>
        <v>0.9646875000000024</v>
      </c>
      <c r="Y104" s="312">
        <f t="shared" si="16"/>
        <v>0.9646875000000024</v>
      </c>
      <c r="Z104" s="312">
        <f t="shared" si="16"/>
        <v>0.9646875000000024</v>
      </c>
      <c r="AA104" s="312">
        <f t="shared" si="16"/>
        <v>0.9646875000000024</v>
      </c>
      <c r="AB104" s="312">
        <f t="shared" si="16"/>
        <v>0.9646875000000024</v>
      </c>
      <c r="AC104" s="312">
        <f t="shared" si="16"/>
        <v>0.9646875000000024</v>
      </c>
      <c r="AD104" s="312">
        <f t="shared" si="16"/>
        <v>0.9646875000000024</v>
      </c>
      <c r="AE104" s="312">
        <f t="shared" si="16"/>
        <v>0.9646875000000024</v>
      </c>
      <c r="AF104" s="313">
        <f t="shared" si="16"/>
        <v>0.9646875000000024</v>
      </c>
      <c r="AG104" s="195"/>
      <c r="AH104" s="195"/>
    </row>
    <row r="105" spans="1:34" ht="16.5">
      <c r="A105" s="271"/>
      <c r="B105" s="308"/>
      <c r="C105" s="242" t="s">
        <v>89</v>
      </c>
      <c r="D105" s="259">
        <f t="shared" si="10"/>
        <v>28.950949773202634</v>
      </c>
      <c r="E105" s="260">
        <f t="shared" si="11"/>
        <v>0</v>
      </c>
      <c r="F105" s="261">
        <f t="shared" si="12"/>
        <v>28.950949773202634</v>
      </c>
      <c r="G105" s="225"/>
      <c r="H105" s="226"/>
      <c r="I105" s="226"/>
      <c r="J105" s="227"/>
      <c r="K105" s="309">
        <f t="shared" si="15"/>
        <v>0.9480681818181819</v>
      </c>
      <c r="L105" s="310">
        <f t="shared" si="15"/>
        <v>0.9765102272727273</v>
      </c>
      <c r="M105" s="310">
        <f t="shared" si="15"/>
        <v>1.0058055340909091</v>
      </c>
      <c r="N105" s="310">
        <f t="shared" si="15"/>
        <v>1.0359797001136364</v>
      </c>
      <c r="O105" s="310">
        <f t="shared" si="15"/>
        <v>1.0670590911170454</v>
      </c>
      <c r="P105" s="310">
        <f t="shared" si="15"/>
        <v>1.0990708638505569</v>
      </c>
      <c r="Q105" s="310">
        <f t="shared" si="15"/>
        <v>1.1320429897660735</v>
      </c>
      <c r="R105" s="310">
        <f t="shared" si="15"/>
        <v>1.1660042794590557</v>
      </c>
      <c r="S105" s="310">
        <f t="shared" si="15"/>
        <v>1.2009844078428273</v>
      </c>
      <c r="T105" s="310">
        <f t="shared" si="15"/>
        <v>1.2370139400781122</v>
      </c>
      <c r="U105" s="310">
        <f t="shared" si="15"/>
        <v>1.2741243582804556</v>
      </c>
      <c r="V105" s="311">
        <f t="shared" si="15"/>
        <v>1.312348089028869</v>
      </c>
      <c r="W105" s="310">
        <f t="shared" si="15"/>
        <v>1.351718531699735</v>
      </c>
      <c r="X105" s="310">
        <f t="shared" si="15"/>
        <v>1.3922700876507272</v>
      </c>
      <c r="Y105" s="310">
        <f t="shared" si="15"/>
        <v>1.4340381902802493</v>
      </c>
      <c r="Z105" s="310">
        <f t="shared" si="15"/>
        <v>1.4770593359886564</v>
      </c>
      <c r="AA105" s="310">
        <f aca="true" t="shared" si="17" ref="AA105:AF107">-AA112</f>
        <v>1.521371116068316</v>
      </c>
      <c r="AB105" s="310">
        <f t="shared" si="17"/>
        <v>1.5670122495503656</v>
      </c>
      <c r="AC105" s="310">
        <f t="shared" si="17"/>
        <v>1.6140226170368766</v>
      </c>
      <c r="AD105" s="310">
        <f t="shared" si="17"/>
        <v>1.6624432955479829</v>
      </c>
      <c r="AE105" s="310">
        <f t="shared" si="17"/>
        <v>1.712316594414422</v>
      </c>
      <c r="AF105" s="311">
        <f t="shared" si="17"/>
        <v>1.763686092246855</v>
      </c>
      <c r="AG105" s="195"/>
      <c r="AH105" s="195"/>
    </row>
    <row r="106" spans="1:32" ht="16.5">
      <c r="A106" s="257"/>
      <c r="B106" s="257"/>
      <c r="C106" s="242" t="s">
        <v>90</v>
      </c>
      <c r="D106" s="259">
        <f t="shared" si="10"/>
        <v>69.19634414928431</v>
      </c>
      <c r="E106" s="260">
        <f t="shared" si="11"/>
        <v>0</v>
      </c>
      <c r="F106" s="261">
        <f t="shared" si="12"/>
        <v>69.19634414928431</v>
      </c>
      <c r="G106" s="225"/>
      <c r="H106" s="226"/>
      <c r="I106" s="226"/>
      <c r="J106" s="227"/>
      <c r="K106" s="309">
        <f t="shared" si="15"/>
        <v>2.2660000000000005</v>
      </c>
      <c r="L106" s="310">
        <f t="shared" si="15"/>
        <v>2.33398</v>
      </c>
      <c r="M106" s="310">
        <f t="shared" si="15"/>
        <v>2.4039994</v>
      </c>
      <c r="N106" s="310">
        <f t="shared" si="15"/>
        <v>2.476119382</v>
      </c>
      <c r="O106" s="310">
        <f t="shared" si="15"/>
        <v>2.55040296346</v>
      </c>
      <c r="P106" s="310">
        <f t="shared" si="15"/>
        <v>2.6269150523638</v>
      </c>
      <c r="Q106" s="310">
        <f t="shared" si="15"/>
        <v>2.705722503934714</v>
      </c>
      <c r="R106" s="310">
        <f t="shared" si="15"/>
        <v>2.7868941790527555</v>
      </c>
      <c r="S106" s="310">
        <f t="shared" si="15"/>
        <v>2.870501004424338</v>
      </c>
      <c r="T106" s="310">
        <f t="shared" si="15"/>
        <v>2.9566160345570682</v>
      </c>
      <c r="U106" s="310">
        <f t="shared" si="15"/>
        <v>3.0453145155937804</v>
      </c>
      <c r="V106" s="311">
        <f t="shared" si="15"/>
        <v>3.136673951061593</v>
      </c>
      <c r="W106" s="310">
        <f t="shared" si="15"/>
        <v>3.230774169593441</v>
      </c>
      <c r="X106" s="310">
        <f t="shared" si="15"/>
        <v>3.3276973946812447</v>
      </c>
      <c r="Y106" s="310">
        <f t="shared" si="15"/>
        <v>3.427528316521682</v>
      </c>
      <c r="Z106" s="310">
        <f t="shared" si="15"/>
        <v>3.530354166017332</v>
      </c>
      <c r="AA106" s="310">
        <f t="shared" si="17"/>
        <v>3.636264790997852</v>
      </c>
      <c r="AB106" s="310">
        <f t="shared" si="17"/>
        <v>3.7453527347277875</v>
      </c>
      <c r="AC106" s="310">
        <f t="shared" si="17"/>
        <v>3.857713316769621</v>
      </c>
      <c r="AD106" s="310">
        <f t="shared" si="17"/>
        <v>3.9734447162727093</v>
      </c>
      <c r="AE106" s="310">
        <f t="shared" si="17"/>
        <v>4.09264805776089</v>
      </c>
      <c r="AF106" s="311">
        <f t="shared" si="17"/>
        <v>4.2154274994937175</v>
      </c>
    </row>
    <row r="107" spans="1:32" ht="16.5">
      <c r="A107" s="257"/>
      <c r="B107" s="257"/>
      <c r="C107" s="242" t="s">
        <v>91</v>
      </c>
      <c r="D107" s="259">
        <f t="shared" si="10"/>
        <v>49.411509191545484</v>
      </c>
      <c r="E107" s="260">
        <f t="shared" si="11"/>
        <v>0</v>
      </c>
      <c r="F107" s="261">
        <f t="shared" si="12"/>
        <v>49.411509191545484</v>
      </c>
      <c r="G107" s="225"/>
      <c r="H107" s="226"/>
      <c r="I107" s="226"/>
      <c r="J107" s="227"/>
      <c r="K107" s="309">
        <f t="shared" si="15"/>
        <v>1.61809819875</v>
      </c>
      <c r="L107" s="310">
        <f t="shared" si="15"/>
        <v>1.6666411447124998</v>
      </c>
      <c r="M107" s="310">
        <f t="shared" si="15"/>
        <v>1.716640379053875</v>
      </c>
      <c r="N107" s="310">
        <f t="shared" si="15"/>
        <v>1.768139590425491</v>
      </c>
      <c r="O107" s="310">
        <f t="shared" si="15"/>
        <v>1.8211837781382556</v>
      </c>
      <c r="P107" s="310">
        <f t="shared" si="15"/>
        <v>1.8758192914824035</v>
      </c>
      <c r="Q107" s="310">
        <f t="shared" si="15"/>
        <v>1.9320938702268757</v>
      </c>
      <c r="R107" s="310">
        <f t="shared" si="15"/>
        <v>1.9900566863336817</v>
      </c>
      <c r="S107" s="310">
        <f t="shared" si="15"/>
        <v>2.0497583869236924</v>
      </c>
      <c r="T107" s="310">
        <f t="shared" si="15"/>
        <v>2.111251138531403</v>
      </c>
      <c r="U107" s="310">
        <f t="shared" si="15"/>
        <v>2.1745886726873453</v>
      </c>
      <c r="V107" s="311">
        <f t="shared" si="15"/>
        <v>2.239826332867965</v>
      </c>
      <c r="W107" s="310">
        <f t="shared" si="15"/>
        <v>2.307021122854004</v>
      </c>
      <c r="X107" s="310">
        <f t="shared" si="15"/>
        <v>2.3762317565396245</v>
      </c>
      <c r="Y107" s="310">
        <f t="shared" si="15"/>
        <v>2.4475187092358133</v>
      </c>
      <c r="Z107" s="310">
        <f t="shared" si="15"/>
        <v>2.5209442705128873</v>
      </c>
      <c r="AA107" s="310">
        <f t="shared" si="17"/>
        <v>2.5965725986282737</v>
      </c>
      <c r="AB107" s="310">
        <f t="shared" si="17"/>
        <v>2.674469776587122</v>
      </c>
      <c r="AC107" s="310">
        <f t="shared" si="17"/>
        <v>2.754703869884736</v>
      </c>
      <c r="AD107" s="310">
        <f t="shared" si="17"/>
        <v>2.837344985981278</v>
      </c>
      <c r="AE107" s="310">
        <f t="shared" si="17"/>
        <v>2.9224653355607155</v>
      </c>
      <c r="AF107" s="311">
        <f t="shared" si="17"/>
        <v>3.0101392956275372</v>
      </c>
    </row>
    <row r="108" spans="1:32" ht="16.5">
      <c r="A108" s="257"/>
      <c r="B108" s="257"/>
      <c r="C108" s="314"/>
      <c r="D108" s="225"/>
      <c r="E108" s="226"/>
      <c r="F108" s="227"/>
      <c r="G108" s="225"/>
      <c r="H108" s="226"/>
      <c r="I108" s="226"/>
      <c r="J108" s="227"/>
      <c r="K108" s="225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7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7"/>
    </row>
    <row r="109" spans="1:32" s="156" customFormat="1" ht="18">
      <c r="A109" s="246"/>
      <c r="B109" s="246"/>
      <c r="C109" s="247" t="s">
        <v>92</v>
      </c>
      <c r="D109" s="248">
        <f aca="true" t="shared" si="18" ref="D109:D114">SUM(G109:AF109)</f>
        <v>-338.5669281140324</v>
      </c>
      <c r="E109" s="249">
        <f aca="true" t="shared" si="19" ref="E109:E114">SUM(G109:J109)</f>
        <v>0</v>
      </c>
      <c r="F109" s="250">
        <f aca="true" t="shared" si="20" ref="F109:F114">SUM(K109:AF109)</f>
        <v>-338.5669281140324</v>
      </c>
      <c r="G109" s="302"/>
      <c r="H109" s="303"/>
      <c r="I109" s="303"/>
      <c r="J109" s="304"/>
      <c r="K109" s="305">
        <f aca="true" t="shared" si="21" ref="K109:AF109">SUM(K110:K114)</f>
        <v>-26.05529138056819</v>
      </c>
      <c r="L109" s="306">
        <f t="shared" si="21"/>
        <v>-25.235568871985226</v>
      </c>
      <c r="M109" s="306">
        <f t="shared" si="21"/>
        <v>-24.420195313144788</v>
      </c>
      <c r="N109" s="306">
        <f t="shared" si="21"/>
        <v>-23.609301172539126</v>
      </c>
      <c r="O109" s="306">
        <f t="shared" si="21"/>
        <v>-22.803020832715305</v>
      </c>
      <c r="P109" s="306">
        <f t="shared" si="21"/>
        <v>-22.00149270769676</v>
      </c>
      <c r="Q109" s="306">
        <f t="shared" si="21"/>
        <v>-21.204859363927664</v>
      </c>
      <c r="R109" s="306">
        <f t="shared" si="21"/>
        <v>-20.413267644845494</v>
      </c>
      <c r="S109" s="306">
        <f t="shared" si="21"/>
        <v>-19.62686879919086</v>
      </c>
      <c r="T109" s="306">
        <f t="shared" si="21"/>
        <v>-18.845818613166585</v>
      </c>
      <c r="U109" s="306">
        <f t="shared" si="21"/>
        <v>-18.070277546561584</v>
      </c>
      <c r="V109" s="307">
        <f t="shared" si="21"/>
        <v>-17.30041087295843</v>
      </c>
      <c r="W109" s="306">
        <f t="shared" si="21"/>
        <v>-6.88951382414718</v>
      </c>
      <c r="X109" s="306">
        <f t="shared" si="21"/>
        <v>-7.096199238871597</v>
      </c>
      <c r="Y109" s="306">
        <f t="shared" si="21"/>
        <v>-7.309085216037744</v>
      </c>
      <c r="Z109" s="306">
        <f t="shared" si="21"/>
        <v>-7.528357772518875</v>
      </c>
      <c r="AA109" s="306">
        <f t="shared" si="21"/>
        <v>-7.754208505694441</v>
      </c>
      <c r="AB109" s="306">
        <f t="shared" si="21"/>
        <v>-7.986834760865275</v>
      </c>
      <c r="AC109" s="306">
        <f t="shared" si="21"/>
        <v>-8.226439803691234</v>
      </c>
      <c r="AD109" s="306">
        <f t="shared" si="21"/>
        <v>-8.47323299780197</v>
      </c>
      <c r="AE109" s="306">
        <f t="shared" si="21"/>
        <v>-8.727429987736027</v>
      </c>
      <c r="AF109" s="307">
        <f t="shared" si="21"/>
        <v>-8.98925288736811</v>
      </c>
    </row>
    <row r="110" spans="1:32" ht="16.5">
      <c r="A110" s="257"/>
      <c r="B110" s="257"/>
      <c r="C110" s="242" t="s">
        <v>93</v>
      </c>
      <c r="D110" s="259">
        <f t="shared" si="18"/>
        <v>-115.76249999999997</v>
      </c>
      <c r="E110" s="260">
        <f t="shared" si="19"/>
        <v>0</v>
      </c>
      <c r="F110" s="261">
        <f t="shared" si="20"/>
        <v>-115.76249999999997</v>
      </c>
      <c r="G110" s="299"/>
      <c r="H110" s="300"/>
      <c r="I110" s="300"/>
      <c r="J110" s="301"/>
      <c r="K110" s="309">
        <f aca="true" t="shared" si="22" ref="K110:V110">-$D$24/$D$21</f>
        <v>-9.646875</v>
      </c>
      <c r="L110" s="310">
        <f t="shared" si="22"/>
        <v>-9.646875</v>
      </c>
      <c r="M110" s="310">
        <f t="shared" si="22"/>
        <v>-9.646875</v>
      </c>
      <c r="N110" s="310">
        <f t="shared" si="22"/>
        <v>-9.646875</v>
      </c>
      <c r="O110" s="310">
        <f t="shared" si="22"/>
        <v>-9.646875</v>
      </c>
      <c r="P110" s="310">
        <f t="shared" si="22"/>
        <v>-9.646875</v>
      </c>
      <c r="Q110" s="310">
        <f t="shared" si="22"/>
        <v>-9.646875</v>
      </c>
      <c r="R110" s="310">
        <f t="shared" si="22"/>
        <v>-9.646875</v>
      </c>
      <c r="S110" s="310">
        <f t="shared" si="22"/>
        <v>-9.646875</v>
      </c>
      <c r="T110" s="310">
        <f t="shared" si="22"/>
        <v>-9.646875</v>
      </c>
      <c r="U110" s="310">
        <f t="shared" si="22"/>
        <v>-9.646875</v>
      </c>
      <c r="V110" s="311">
        <f t="shared" si="22"/>
        <v>-9.646875</v>
      </c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1"/>
    </row>
    <row r="111" spans="1:32" ht="16.5">
      <c r="A111" s="271"/>
      <c r="B111" s="257"/>
      <c r="C111" s="242" t="s">
        <v>94</v>
      </c>
      <c r="D111" s="259">
        <f t="shared" si="18"/>
        <v>-75.24562500000002</v>
      </c>
      <c r="E111" s="260">
        <f t="shared" si="19"/>
        <v>0</v>
      </c>
      <c r="F111" s="261">
        <f t="shared" si="20"/>
        <v>-75.24562500000002</v>
      </c>
      <c r="G111" s="299"/>
      <c r="H111" s="300"/>
      <c r="I111" s="300"/>
      <c r="J111" s="301"/>
      <c r="K111" s="309">
        <f>-$D$24*$D$20</f>
        <v>-11.576250000000002</v>
      </c>
      <c r="L111" s="310">
        <f>(-$D$24-SUM($K110:K110))*$D$20</f>
        <v>-10.611562500000002</v>
      </c>
      <c r="M111" s="310">
        <f>(-$D$24-SUM($K110:L110))*$D$20</f>
        <v>-9.646875000000001</v>
      </c>
      <c r="N111" s="310">
        <f>(-$D$24-SUM($K110:M110))*$D$20</f>
        <v>-8.682187500000001</v>
      </c>
      <c r="O111" s="310">
        <f>(-$D$24-SUM($K110:N110))*$D$20</f>
        <v>-7.717500000000001</v>
      </c>
      <c r="P111" s="310">
        <f>(-$D$24-SUM($K110:O110))*$D$20</f>
        <v>-6.752812500000001</v>
      </c>
      <c r="Q111" s="310">
        <f>(-$D$24-SUM($K110:P110))*$D$20</f>
        <v>-5.788125000000001</v>
      </c>
      <c r="R111" s="310">
        <f>(-$D$24-SUM($K110:Q110))*$D$20</f>
        <v>-4.823437500000001</v>
      </c>
      <c r="S111" s="310">
        <f>(-$D$24-SUM($K110:R110))*$D$20</f>
        <v>-3.8587500000000006</v>
      </c>
      <c r="T111" s="310">
        <f>(-$D$24-SUM($K110:S110))*$D$20</f>
        <v>-2.8940625000000013</v>
      </c>
      <c r="U111" s="310">
        <f>(-$D$24-SUM($K110:T110))*$D$20</f>
        <v>-1.9293750000000018</v>
      </c>
      <c r="V111" s="311">
        <f>(-$D$24-SUM($K110:U110))*$D$20</f>
        <v>-0.9646875000000024</v>
      </c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1"/>
    </row>
    <row r="112" spans="1:32" ht="16.5">
      <c r="A112" s="271"/>
      <c r="B112" s="308"/>
      <c r="C112" s="242" t="s">
        <v>95</v>
      </c>
      <c r="D112" s="259">
        <f t="shared" si="18"/>
        <v>-28.950949773202634</v>
      </c>
      <c r="E112" s="260">
        <f t="shared" si="19"/>
        <v>0</v>
      </c>
      <c r="F112" s="261">
        <f t="shared" si="20"/>
        <v>-28.950949773202634</v>
      </c>
      <c r="G112" s="299"/>
      <c r="H112" s="300"/>
      <c r="I112" s="300"/>
      <c r="J112" s="301"/>
      <c r="K112" s="309">
        <f aca="true" t="shared" si="23" ref="K112:AF112">-K43*K82</f>
        <v>-0.9480681818181819</v>
      </c>
      <c r="L112" s="310">
        <f t="shared" si="23"/>
        <v>-0.9765102272727273</v>
      </c>
      <c r="M112" s="310">
        <f t="shared" si="23"/>
        <v>-1.0058055340909091</v>
      </c>
      <c r="N112" s="310">
        <f t="shared" si="23"/>
        <v>-1.0359797001136364</v>
      </c>
      <c r="O112" s="310">
        <f t="shared" si="23"/>
        <v>-1.0670590911170454</v>
      </c>
      <c r="P112" s="310">
        <f t="shared" si="23"/>
        <v>-1.0990708638505569</v>
      </c>
      <c r="Q112" s="310">
        <f t="shared" si="23"/>
        <v>-1.1320429897660735</v>
      </c>
      <c r="R112" s="310">
        <f t="shared" si="23"/>
        <v>-1.1660042794590557</v>
      </c>
      <c r="S112" s="310">
        <f t="shared" si="23"/>
        <v>-1.2009844078428273</v>
      </c>
      <c r="T112" s="310">
        <f t="shared" si="23"/>
        <v>-1.2370139400781122</v>
      </c>
      <c r="U112" s="310">
        <f t="shared" si="23"/>
        <v>-1.2741243582804556</v>
      </c>
      <c r="V112" s="311">
        <f t="shared" si="23"/>
        <v>-1.312348089028869</v>
      </c>
      <c r="W112" s="310">
        <f t="shared" si="23"/>
        <v>-1.351718531699735</v>
      </c>
      <c r="X112" s="310">
        <f t="shared" si="23"/>
        <v>-1.3922700876507272</v>
      </c>
      <c r="Y112" s="310">
        <f t="shared" si="23"/>
        <v>-1.4340381902802493</v>
      </c>
      <c r="Z112" s="310">
        <f t="shared" si="23"/>
        <v>-1.4770593359886564</v>
      </c>
      <c r="AA112" s="310">
        <f t="shared" si="23"/>
        <v>-1.521371116068316</v>
      </c>
      <c r="AB112" s="310">
        <f t="shared" si="23"/>
        <v>-1.5670122495503656</v>
      </c>
      <c r="AC112" s="310">
        <f t="shared" si="23"/>
        <v>-1.6140226170368766</v>
      </c>
      <c r="AD112" s="310">
        <f t="shared" si="23"/>
        <v>-1.6624432955479829</v>
      </c>
      <c r="AE112" s="310">
        <f t="shared" si="23"/>
        <v>-1.712316594414422</v>
      </c>
      <c r="AF112" s="311">
        <f t="shared" si="23"/>
        <v>-1.763686092246855</v>
      </c>
    </row>
    <row r="113" spans="1:32" ht="16.5">
      <c r="A113" s="257"/>
      <c r="B113" s="257"/>
      <c r="C113" s="242" t="s">
        <v>96</v>
      </c>
      <c r="D113" s="259">
        <f t="shared" si="18"/>
        <v>-69.19634414928431</v>
      </c>
      <c r="E113" s="260">
        <f t="shared" si="19"/>
        <v>0</v>
      </c>
      <c r="F113" s="261">
        <f t="shared" si="20"/>
        <v>-69.19634414928431</v>
      </c>
      <c r="G113" s="299"/>
      <c r="H113" s="300"/>
      <c r="I113" s="300"/>
      <c r="J113" s="301"/>
      <c r="K113" s="309">
        <f aca="true" t="shared" si="24" ref="K113:AF113">-$D$35*(1+$D$39)*K82</f>
        <v>-2.2660000000000005</v>
      </c>
      <c r="L113" s="310">
        <f t="shared" si="24"/>
        <v>-2.33398</v>
      </c>
      <c r="M113" s="310">
        <f t="shared" si="24"/>
        <v>-2.4039994</v>
      </c>
      <c r="N113" s="310">
        <f t="shared" si="24"/>
        <v>-2.476119382</v>
      </c>
      <c r="O113" s="310">
        <f t="shared" si="24"/>
        <v>-2.55040296346</v>
      </c>
      <c r="P113" s="310">
        <f t="shared" si="24"/>
        <v>-2.6269150523638</v>
      </c>
      <c r="Q113" s="310">
        <f t="shared" si="24"/>
        <v>-2.705722503934714</v>
      </c>
      <c r="R113" s="310">
        <f t="shared" si="24"/>
        <v>-2.7868941790527555</v>
      </c>
      <c r="S113" s="310">
        <f t="shared" si="24"/>
        <v>-2.870501004424338</v>
      </c>
      <c r="T113" s="310">
        <f t="shared" si="24"/>
        <v>-2.9566160345570682</v>
      </c>
      <c r="U113" s="310">
        <f t="shared" si="24"/>
        <v>-3.0453145155937804</v>
      </c>
      <c r="V113" s="311">
        <f t="shared" si="24"/>
        <v>-3.136673951061593</v>
      </c>
      <c r="W113" s="310">
        <f t="shared" si="24"/>
        <v>-3.230774169593441</v>
      </c>
      <c r="X113" s="310">
        <f t="shared" si="24"/>
        <v>-3.3276973946812447</v>
      </c>
      <c r="Y113" s="310">
        <f t="shared" si="24"/>
        <v>-3.427528316521682</v>
      </c>
      <c r="Z113" s="310">
        <f t="shared" si="24"/>
        <v>-3.530354166017332</v>
      </c>
      <c r="AA113" s="310">
        <f t="shared" si="24"/>
        <v>-3.636264790997852</v>
      </c>
      <c r="AB113" s="310">
        <f t="shared" si="24"/>
        <v>-3.7453527347277875</v>
      </c>
      <c r="AC113" s="310">
        <f t="shared" si="24"/>
        <v>-3.857713316769621</v>
      </c>
      <c r="AD113" s="310">
        <f t="shared" si="24"/>
        <v>-3.9734447162727093</v>
      </c>
      <c r="AE113" s="310">
        <f t="shared" si="24"/>
        <v>-4.09264805776089</v>
      </c>
      <c r="AF113" s="311">
        <f t="shared" si="24"/>
        <v>-4.2154274994937175</v>
      </c>
    </row>
    <row r="114" spans="1:32" ht="16.5">
      <c r="A114" s="257"/>
      <c r="B114" s="257"/>
      <c r="C114" s="242" t="s">
        <v>97</v>
      </c>
      <c r="D114" s="259">
        <f t="shared" si="18"/>
        <v>-49.411509191545484</v>
      </c>
      <c r="E114" s="260">
        <f t="shared" si="19"/>
        <v>0</v>
      </c>
      <c r="F114" s="261">
        <f t="shared" si="20"/>
        <v>-49.411509191545484</v>
      </c>
      <c r="G114" s="299"/>
      <c r="H114" s="300"/>
      <c r="I114" s="300"/>
      <c r="J114" s="301"/>
      <c r="K114" s="309">
        <f aca="true" t="shared" si="25" ref="K114:AF114">-(1+$D$39)*K38*K82</f>
        <v>-1.61809819875</v>
      </c>
      <c r="L114" s="310">
        <f t="shared" si="25"/>
        <v>-1.6666411447124998</v>
      </c>
      <c r="M114" s="310">
        <f t="shared" si="25"/>
        <v>-1.716640379053875</v>
      </c>
      <c r="N114" s="310">
        <f t="shared" si="25"/>
        <v>-1.768139590425491</v>
      </c>
      <c r="O114" s="310">
        <f t="shared" si="25"/>
        <v>-1.8211837781382556</v>
      </c>
      <c r="P114" s="310">
        <f t="shared" si="25"/>
        <v>-1.8758192914824035</v>
      </c>
      <c r="Q114" s="310">
        <f t="shared" si="25"/>
        <v>-1.9320938702268757</v>
      </c>
      <c r="R114" s="310">
        <f t="shared" si="25"/>
        <v>-1.9900566863336817</v>
      </c>
      <c r="S114" s="310">
        <f t="shared" si="25"/>
        <v>-2.0497583869236924</v>
      </c>
      <c r="T114" s="310">
        <f t="shared" si="25"/>
        <v>-2.111251138531403</v>
      </c>
      <c r="U114" s="310">
        <f t="shared" si="25"/>
        <v>-2.1745886726873453</v>
      </c>
      <c r="V114" s="311">
        <f t="shared" si="25"/>
        <v>-2.239826332867965</v>
      </c>
      <c r="W114" s="310">
        <f t="shared" si="25"/>
        <v>-2.307021122854004</v>
      </c>
      <c r="X114" s="310">
        <f t="shared" si="25"/>
        <v>-2.3762317565396245</v>
      </c>
      <c r="Y114" s="310">
        <f t="shared" si="25"/>
        <v>-2.4475187092358133</v>
      </c>
      <c r="Z114" s="310">
        <f t="shared" si="25"/>
        <v>-2.5209442705128873</v>
      </c>
      <c r="AA114" s="310">
        <f t="shared" si="25"/>
        <v>-2.5965725986282737</v>
      </c>
      <c r="AB114" s="310">
        <f t="shared" si="25"/>
        <v>-2.674469776587122</v>
      </c>
      <c r="AC114" s="310">
        <f t="shared" si="25"/>
        <v>-2.754703869884736</v>
      </c>
      <c r="AD114" s="310">
        <f t="shared" si="25"/>
        <v>-2.837344985981278</v>
      </c>
      <c r="AE114" s="310">
        <f t="shared" si="25"/>
        <v>-2.9224653355607155</v>
      </c>
      <c r="AF114" s="311">
        <f t="shared" si="25"/>
        <v>-3.0101392956275372</v>
      </c>
    </row>
    <row r="115" spans="1:32" ht="17.25" thickBot="1">
      <c r="A115" s="315"/>
      <c r="B115" s="315"/>
      <c r="C115" s="316"/>
      <c r="D115" s="317"/>
      <c r="E115" s="318"/>
      <c r="F115" s="319"/>
      <c r="G115" s="317"/>
      <c r="H115" s="318"/>
      <c r="I115" s="318"/>
      <c r="J115" s="319"/>
      <c r="K115" s="317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9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9"/>
    </row>
    <row r="116" spans="1:32" ht="16.5">
      <c r="A116" s="257"/>
      <c r="B116" s="257"/>
      <c r="C116" s="320"/>
      <c r="D116" s="321"/>
      <c r="E116" s="322"/>
      <c r="F116" s="323"/>
      <c r="G116" s="324"/>
      <c r="H116" s="325"/>
      <c r="I116" s="325"/>
      <c r="J116" s="326"/>
      <c r="K116" s="324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6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6"/>
    </row>
    <row r="117" spans="1:35" ht="16.5">
      <c r="A117" s="257"/>
      <c r="B117" s="257"/>
      <c r="C117" s="327" t="s">
        <v>98</v>
      </c>
      <c r="D117" s="328"/>
      <c r="E117" s="329"/>
      <c r="F117" s="330"/>
      <c r="G117" s="225" t="s">
        <v>35</v>
      </c>
      <c r="H117" s="226"/>
      <c r="I117" s="226"/>
      <c r="J117" s="227"/>
      <c r="K117" s="262">
        <f aca="true" t="shared" si="26" ref="K117:AF117">K101+K109</f>
        <v>2.7272727272727266</v>
      </c>
      <c r="L117" s="263">
        <f t="shared" si="26"/>
        <v>2.7272727272727266</v>
      </c>
      <c r="M117" s="263">
        <f t="shared" si="26"/>
        <v>2.7272727272727266</v>
      </c>
      <c r="N117" s="263">
        <f t="shared" si="26"/>
        <v>2.7272727272727266</v>
      </c>
      <c r="O117" s="263">
        <f t="shared" si="26"/>
        <v>2.7272727272727266</v>
      </c>
      <c r="P117" s="263">
        <f t="shared" si="26"/>
        <v>2.7272727272727266</v>
      </c>
      <c r="Q117" s="263">
        <f t="shared" si="26"/>
        <v>2.7272727272727266</v>
      </c>
      <c r="R117" s="263">
        <f t="shared" si="26"/>
        <v>2.727272727272723</v>
      </c>
      <c r="S117" s="263">
        <f t="shared" si="26"/>
        <v>2.7272727272727266</v>
      </c>
      <c r="T117" s="263">
        <f t="shared" si="26"/>
        <v>2.7272727272727266</v>
      </c>
      <c r="U117" s="263">
        <f t="shared" si="26"/>
        <v>2.7272727272727266</v>
      </c>
      <c r="V117" s="264">
        <f t="shared" si="26"/>
        <v>2.7272727272727266</v>
      </c>
      <c r="W117" s="263">
        <f t="shared" si="26"/>
        <v>13.338835227272728</v>
      </c>
      <c r="X117" s="263">
        <f t="shared" si="26"/>
        <v>13.338835227272726</v>
      </c>
      <c r="Y117" s="263">
        <f t="shared" si="26"/>
        <v>13.338835227272728</v>
      </c>
      <c r="Z117" s="263">
        <f t="shared" si="26"/>
        <v>13.33883522727273</v>
      </c>
      <c r="AA117" s="263">
        <f t="shared" si="26"/>
        <v>13.33883522727273</v>
      </c>
      <c r="AB117" s="263">
        <f t="shared" si="26"/>
        <v>13.338835227272728</v>
      </c>
      <c r="AC117" s="263">
        <f t="shared" si="26"/>
        <v>13.33883522727273</v>
      </c>
      <c r="AD117" s="263">
        <f t="shared" si="26"/>
        <v>13.33883522727273</v>
      </c>
      <c r="AE117" s="263">
        <f t="shared" si="26"/>
        <v>13.338835227272728</v>
      </c>
      <c r="AF117" s="263">
        <f t="shared" si="26"/>
        <v>13.338835227272732</v>
      </c>
      <c r="AG117" s="195"/>
      <c r="AH117" s="195"/>
      <c r="AI117" s="195"/>
    </row>
    <row r="118" spans="1:35" ht="16.5">
      <c r="A118" s="257"/>
      <c r="B118" s="257"/>
      <c r="C118" s="327"/>
      <c r="D118" s="328"/>
      <c r="E118" s="329"/>
      <c r="F118" s="330"/>
      <c r="G118" s="225"/>
      <c r="H118" s="226"/>
      <c r="I118" s="226"/>
      <c r="J118" s="227"/>
      <c r="K118" s="225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7"/>
      <c r="AG118" s="195"/>
      <c r="AH118" s="195"/>
      <c r="AI118" s="195"/>
    </row>
    <row r="119" spans="1:35" ht="16.5">
      <c r="A119" s="271"/>
      <c r="B119" s="257"/>
      <c r="C119" s="327" t="s">
        <v>99</v>
      </c>
      <c r="D119" s="328"/>
      <c r="E119" s="329"/>
      <c r="F119" s="330"/>
      <c r="G119" s="225"/>
      <c r="H119" s="226"/>
      <c r="I119" s="226"/>
      <c r="J119" s="227"/>
      <c r="K119" s="262">
        <f aca="true" t="shared" si="27" ref="K119:AF119">-K117*$D$45</f>
        <v>-0.27272727272727265</v>
      </c>
      <c r="L119" s="263">
        <f t="shared" si="27"/>
        <v>-0.27272727272727265</v>
      </c>
      <c r="M119" s="263">
        <f t="shared" si="27"/>
        <v>-0.27272727272727265</v>
      </c>
      <c r="N119" s="263">
        <f t="shared" si="27"/>
        <v>-0.27272727272727265</v>
      </c>
      <c r="O119" s="263">
        <f t="shared" si="27"/>
        <v>-0.27272727272727265</v>
      </c>
      <c r="P119" s="263">
        <f t="shared" si="27"/>
        <v>-0.27272727272727265</v>
      </c>
      <c r="Q119" s="263">
        <f t="shared" si="27"/>
        <v>-0.27272727272727265</v>
      </c>
      <c r="R119" s="263">
        <f t="shared" si="27"/>
        <v>-0.2727272727272723</v>
      </c>
      <c r="S119" s="263">
        <f t="shared" si="27"/>
        <v>-0.27272727272727265</v>
      </c>
      <c r="T119" s="263">
        <f t="shared" si="27"/>
        <v>-0.27272727272727265</v>
      </c>
      <c r="U119" s="263">
        <f t="shared" si="27"/>
        <v>-0.27272727272727265</v>
      </c>
      <c r="V119" s="264">
        <f t="shared" si="27"/>
        <v>-0.27272727272727265</v>
      </c>
      <c r="W119" s="263">
        <f t="shared" si="27"/>
        <v>-1.333883522727273</v>
      </c>
      <c r="X119" s="263">
        <f t="shared" si="27"/>
        <v>-1.3338835227272727</v>
      </c>
      <c r="Y119" s="263">
        <f t="shared" si="27"/>
        <v>-1.333883522727273</v>
      </c>
      <c r="Z119" s="263">
        <f t="shared" si="27"/>
        <v>-1.3338835227272732</v>
      </c>
      <c r="AA119" s="263">
        <f t="shared" si="27"/>
        <v>-1.3338835227272732</v>
      </c>
      <c r="AB119" s="263">
        <f t="shared" si="27"/>
        <v>-1.333883522727273</v>
      </c>
      <c r="AC119" s="263">
        <f t="shared" si="27"/>
        <v>-1.3338835227272732</v>
      </c>
      <c r="AD119" s="263">
        <f t="shared" si="27"/>
        <v>-1.3338835227272732</v>
      </c>
      <c r="AE119" s="263">
        <f t="shared" si="27"/>
        <v>-1.333883522727273</v>
      </c>
      <c r="AF119" s="264">
        <f t="shared" si="27"/>
        <v>-1.3338835227272732</v>
      </c>
      <c r="AG119" s="195"/>
      <c r="AH119" s="195"/>
      <c r="AI119" s="195"/>
    </row>
    <row r="120" spans="1:35" ht="16.5">
      <c r="A120" s="257"/>
      <c r="B120" s="257"/>
      <c r="C120" s="327"/>
      <c r="D120" s="328"/>
      <c r="E120" s="329"/>
      <c r="F120" s="330"/>
      <c r="G120" s="225"/>
      <c r="H120" s="226"/>
      <c r="I120" s="226"/>
      <c r="J120" s="227"/>
      <c r="K120" s="225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7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7"/>
      <c r="AG120" s="195"/>
      <c r="AH120" s="195"/>
      <c r="AI120" s="195"/>
    </row>
    <row r="121" spans="1:35" ht="16.5">
      <c r="A121" s="257"/>
      <c r="B121" s="257"/>
      <c r="C121" s="331" t="s">
        <v>100</v>
      </c>
      <c r="D121" s="259"/>
      <c r="E121" s="260"/>
      <c r="F121" s="261"/>
      <c r="G121" s="262">
        <f>G94+G86</f>
        <v>-27</v>
      </c>
      <c r="H121" s="263">
        <f>H94+H86</f>
        <v>-54</v>
      </c>
      <c r="I121" s="263">
        <f>I94+I86</f>
        <v>20.381249999999994</v>
      </c>
      <c r="J121" s="264">
        <f>J94+J86</f>
        <v>60.61874999999999</v>
      </c>
      <c r="K121" s="262">
        <f aca="true" t="shared" si="28" ref="K121:AF121">K117+K119</f>
        <v>2.454545454545454</v>
      </c>
      <c r="L121" s="263">
        <f t="shared" si="28"/>
        <v>2.454545454545454</v>
      </c>
      <c r="M121" s="263">
        <f t="shared" si="28"/>
        <v>2.454545454545454</v>
      </c>
      <c r="N121" s="263">
        <f t="shared" si="28"/>
        <v>2.454545454545454</v>
      </c>
      <c r="O121" s="263">
        <f t="shared" si="28"/>
        <v>2.454545454545454</v>
      </c>
      <c r="P121" s="263">
        <f t="shared" si="28"/>
        <v>2.454545454545454</v>
      </c>
      <c r="Q121" s="263">
        <f t="shared" si="28"/>
        <v>2.454545454545454</v>
      </c>
      <c r="R121" s="263">
        <f t="shared" si="28"/>
        <v>2.4545454545454506</v>
      </c>
      <c r="S121" s="263">
        <f t="shared" si="28"/>
        <v>2.454545454545454</v>
      </c>
      <c r="T121" s="263">
        <f t="shared" si="28"/>
        <v>2.454545454545454</v>
      </c>
      <c r="U121" s="263">
        <f t="shared" si="28"/>
        <v>2.454545454545454</v>
      </c>
      <c r="V121" s="264">
        <f t="shared" si="28"/>
        <v>2.454545454545454</v>
      </c>
      <c r="W121" s="263">
        <f t="shared" si="28"/>
        <v>12.004951704545455</v>
      </c>
      <c r="X121" s="263">
        <f t="shared" si="28"/>
        <v>12.004951704545453</v>
      </c>
      <c r="Y121" s="263">
        <f t="shared" si="28"/>
        <v>12.004951704545455</v>
      </c>
      <c r="Z121" s="263">
        <f t="shared" si="28"/>
        <v>12.004951704545457</v>
      </c>
      <c r="AA121" s="263">
        <f t="shared" si="28"/>
        <v>12.004951704545457</v>
      </c>
      <c r="AB121" s="263">
        <f t="shared" si="28"/>
        <v>12.004951704545455</v>
      </c>
      <c r="AC121" s="263">
        <f t="shared" si="28"/>
        <v>12.004951704545457</v>
      </c>
      <c r="AD121" s="263">
        <f t="shared" si="28"/>
        <v>12.004951704545457</v>
      </c>
      <c r="AE121" s="263">
        <f t="shared" si="28"/>
        <v>12.004951704545455</v>
      </c>
      <c r="AF121" s="264">
        <f t="shared" si="28"/>
        <v>12.004951704545459</v>
      </c>
      <c r="AG121" s="195"/>
      <c r="AH121" s="195"/>
      <c r="AI121" s="195"/>
    </row>
    <row r="122" spans="1:35" ht="16.5">
      <c r="A122" s="257"/>
      <c r="B122" s="257"/>
      <c r="C122" s="327" t="s">
        <v>101</v>
      </c>
      <c r="D122" s="328"/>
      <c r="E122" s="329"/>
      <c r="F122" s="330"/>
      <c r="G122" s="262">
        <f>G121</f>
        <v>-27</v>
      </c>
      <c r="H122" s="263">
        <f aca="true" t="shared" si="29" ref="H122:AF122">G122+H121</f>
        <v>-81</v>
      </c>
      <c r="I122" s="263">
        <f t="shared" si="29"/>
        <v>-60.618750000000006</v>
      </c>
      <c r="J122" s="264">
        <f t="shared" si="29"/>
        <v>0</v>
      </c>
      <c r="K122" s="262">
        <f t="shared" si="29"/>
        <v>2.454545454545454</v>
      </c>
      <c r="L122" s="263">
        <f t="shared" si="29"/>
        <v>4.909090909090908</v>
      </c>
      <c r="M122" s="263">
        <f t="shared" si="29"/>
        <v>7.363636363636362</v>
      </c>
      <c r="N122" s="263">
        <f t="shared" si="29"/>
        <v>9.818181818181817</v>
      </c>
      <c r="O122" s="263">
        <f t="shared" si="29"/>
        <v>12.27272727272727</v>
      </c>
      <c r="P122" s="263">
        <f t="shared" si="29"/>
        <v>14.727272727272723</v>
      </c>
      <c r="Q122" s="263">
        <f t="shared" si="29"/>
        <v>17.181818181818176</v>
      </c>
      <c r="R122" s="263">
        <f t="shared" si="29"/>
        <v>19.636363636363626</v>
      </c>
      <c r="S122" s="263">
        <f t="shared" si="29"/>
        <v>22.09090909090908</v>
      </c>
      <c r="T122" s="263">
        <f t="shared" si="29"/>
        <v>24.545454545454533</v>
      </c>
      <c r="U122" s="263">
        <f t="shared" si="29"/>
        <v>26.999999999999986</v>
      </c>
      <c r="V122" s="264">
        <f t="shared" si="29"/>
        <v>29.45454545454544</v>
      </c>
      <c r="W122" s="263">
        <f t="shared" si="29"/>
        <v>41.459497159090894</v>
      </c>
      <c r="X122" s="263">
        <f t="shared" si="29"/>
        <v>53.46444886363635</v>
      </c>
      <c r="Y122" s="263">
        <f t="shared" si="29"/>
        <v>65.46940056818181</v>
      </c>
      <c r="Z122" s="263">
        <f t="shared" si="29"/>
        <v>77.47435227272727</v>
      </c>
      <c r="AA122" s="263">
        <f t="shared" si="29"/>
        <v>89.47930397727274</v>
      </c>
      <c r="AB122" s="263">
        <f t="shared" si="29"/>
        <v>101.48425568181818</v>
      </c>
      <c r="AC122" s="263">
        <f t="shared" si="29"/>
        <v>113.48920738636365</v>
      </c>
      <c r="AD122" s="263">
        <f t="shared" si="29"/>
        <v>125.49415909090911</v>
      </c>
      <c r="AE122" s="263">
        <f t="shared" si="29"/>
        <v>137.49911079545456</v>
      </c>
      <c r="AF122" s="264">
        <f t="shared" si="29"/>
        <v>149.5040625</v>
      </c>
      <c r="AG122" s="195"/>
      <c r="AH122" s="195"/>
      <c r="AI122" s="195"/>
    </row>
    <row r="123" spans="1:35" ht="16.5">
      <c r="A123" s="257"/>
      <c r="B123" s="257"/>
      <c r="C123" s="327"/>
      <c r="D123" s="328"/>
      <c r="E123" s="329"/>
      <c r="F123" s="330"/>
      <c r="G123" s="225"/>
      <c r="H123" s="226"/>
      <c r="I123" s="226"/>
      <c r="J123" s="227"/>
      <c r="K123" s="225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7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7"/>
      <c r="AG123" s="195"/>
      <c r="AH123" s="195"/>
      <c r="AI123" s="195"/>
    </row>
    <row r="124" spans="1:35" ht="16.5">
      <c r="A124" s="257"/>
      <c r="B124" s="257"/>
      <c r="C124" s="327" t="s">
        <v>102</v>
      </c>
      <c r="D124" s="328"/>
      <c r="E124" s="329"/>
      <c r="F124" s="330"/>
      <c r="G124" s="225"/>
      <c r="H124" s="226"/>
      <c r="I124" s="226"/>
      <c r="J124" s="227"/>
      <c r="K124" s="265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7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7"/>
      <c r="AG124" s="195"/>
      <c r="AH124" s="195"/>
      <c r="AI124" s="195"/>
    </row>
    <row r="125" spans="1:35" ht="16.5">
      <c r="A125" s="257"/>
      <c r="B125" s="257"/>
      <c r="C125" s="332" t="s">
        <v>103</v>
      </c>
      <c r="D125" s="259">
        <f>SUM(G125:AF125)</f>
        <v>357.12375000000014</v>
      </c>
      <c r="E125" s="260">
        <f>SUM(G125:J125)</f>
        <v>0</v>
      </c>
      <c r="F125" s="261">
        <f>SUM(K125:AF125)</f>
        <v>357.12375000000014</v>
      </c>
      <c r="G125" s="225"/>
      <c r="H125" s="226"/>
      <c r="I125" s="226"/>
      <c r="J125" s="227"/>
      <c r="K125" s="262">
        <f aca="true" t="shared" si="30" ref="K125:AF125">K101+K113+K114+K112</f>
        <v>23.95039772727273</v>
      </c>
      <c r="L125" s="263">
        <f t="shared" si="30"/>
        <v>22.985710227272726</v>
      </c>
      <c r="M125" s="263">
        <f t="shared" si="30"/>
        <v>22.02102272727273</v>
      </c>
      <c r="N125" s="263">
        <f t="shared" si="30"/>
        <v>21.056335227272726</v>
      </c>
      <c r="O125" s="263">
        <f t="shared" si="30"/>
        <v>20.09164772727273</v>
      </c>
      <c r="P125" s="263">
        <f t="shared" si="30"/>
        <v>19.126960227272725</v>
      </c>
      <c r="Q125" s="263">
        <f t="shared" si="30"/>
        <v>18.16227272727273</v>
      </c>
      <c r="R125" s="263">
        <f t="shared" si="30"/>
        <v>17.197585227272725</v>
      </c>
      <c r="S125" s="263">
        <f t="shared" si="30"/>
        <v>16.23289772727273</v>
      </c>
      <c r="T125" s="263">
        <f t="shared" si="30"/>
        <v>15.268210227272727</v>
      </c>
      <c r="U125" s="263">
        <f t="shared" si="30"/>
        <v>14.303522727272728</v>
      </c>
      <c r="V125" s="264">
        <f t="shared" si="30"/>
        <v>13.33883522727273</v>
      </c>
      <c r="W125" s="263">
        <f t="shared" si="30"/>
        <v>13.338835227272728</v>
      </c>
      <c r="X125" s="263">
        <f t="shared" si="30"/>
        <v>13.338835227272726</v>
      </c>
      <c r="Y125" s="263">
        <f t="shared" si="30"/>
        <v>13.338835227272728</v>
      </c>
      <c r="Z125" s="263">
        <f t="shared" si="30"/>
        <v>13.33883522727273</v>
      </c>
      <c r="AA125" s="263">
        <f t="shared" si="30"/>
        <v>13.338835227272728</v>
      </c>
      <c r="AB125" s="263">
        <f t="shared" si="30"/>
        <v>13.338835227272726</v>
      </c>
      <c r="AC125" s="263">
        <f t="shared" si="30"/>
        <v>13.338835227272728</v>
      </c>
      <c r="AD125" s="263">
        <f t="shared" si="30"/>
        <v>13.33883522727273</v>
      </c>
      <c r="AE125" s="263">
        <f t="shared" si="30"/>
        <v>13.338835227272728</v>
      </c>
      <c r="AF125" s="263">
        <f t="shared" si="30"/>
        <v>13.338835227272732</v>
      </c>
      <c r="AG125" s="195"/>
      <c r="AH125" s="195"/>
      <c r="AI125" s="195"/>
    </row>
    <row r="126" spans="1:35" ht="16.5">
      <c r="A126" s="257"/>
      <c r="B126" s="257"/>
      <c r="C126" s="332" t="s">
        <v>104</v>
      </c>
      <c r="D126" s="259">
        <f>SUM(G126:AF126)</f>
        <v>166.115625</v>
      </c>
      <c r="E126" s="260">
        <f>SUM(G126:J126)</f>
        <v>0</v>
      </c>
      <c r="F126" s="261">
        <f>SUM(K126:AF126)</f>
        <v>166.115625</v>
      </c>
      <c r="G126" s="225"/>
      <c r="H126" s="226"/>
      <c r="I126" s="226"/>
      <c r="J126" s="227"/>
      <c r="K126" s="262">
        <f aca="true" t="shared" si="31" ref="K126:AF126">K125+K110+K111</f>
        <v>2.7272727272727284</v>
      </c>
      <c r="L126" s="263">
        <f t="shared" si="31"/>
        <v>2.727272727272725</v>
      </c>
      <c r="M126" s="263">
        <f t="shared" si="31"/>
        <v>2.7272727272727284</v>
      </c>
      <c r="N126" s="263">
        <f t="shared" si="31"/>
        <v>2.727272727272725</v>
      </c>
      <c r="O126" s="263">
        <f t="shared" si="31"/>
        <v>2.7272727272727284</v>
      </c>
      <c r="P126" s="263">
        <f t="shared" si="31"/>
        <v>2.727272727272725</v>
      </c>
      <c r="Q126" s="263">
        <f t="shared" si="31"/>
        <v>2.7272727272727284</v>
      </c>
      <c r="R126" s="263">
        <f t="shared" si="31"/>
        <v>2.727272727272725</v>
      </c>
      <c r="S126" s="263">
        <f t="shared" si="31"/>
        <v>2.7272727272727284</v>
      </c>
      <c r="T126" s="263">
        <f t="shared" si="31"/>
        <v>2.7272727272727257</v>
      </c>
      <c r="U126" s="263">
        <f t="shared" si="31"/>
        <v>2.7272727272727266</v>
      </c>
      <c r="V126" s="264">
        <f t="shared" si="31"/>
        <v>2.727272727272728</v>
      </c>
      <c r="W126" s="263">
        <f t="shared" si="31"/>
        <v>13.338835227272728</v>
      </c>
      <c r="X126" s="263">
        <f t="shared" si="31"/>
        <v>13.338835227272726</v>
      </c>
      <c r="Y126" s="263">
        <f t="shared" si="31"/>
        <v>13.338835227272728</v>
      </c>
      <c r="Z126" s="263">
        <f t="shared" si="31"/>
        <v>13.33883522727273</v>
      </c>
      <c r="AA126" s="263">
        <f t="shared" si="31"/>
        <v>13.338835227272728</v>
      </c>
      <c r="AB126" s="263">
        <f t="shared" si="31"/>
        <v>13.338835227272726</v>
      </c>
      <c r="AC126" s="263">
        <f t="shared" si="31"/>
        <v>13.338835227272728</v>
      </c>
      <c r="AD126" s="263">
        <f t="shared" si="31"/>
        <v>13.33883522727273</v>
      </c>
      <c r="AE126" s="263">
        <f t="shared" si="31"/>
        <v>13.338835227272728</v>
      </c>
      <c r="AF126" s="264">
        <f t="shared" si="31"/>
        <v>13.338835227272732</v>
      </c>
      <c r="AG126" s="195"/>
      <c r="AH126" s="195"/>
      <c r="AI126" s="195"/>
    </row>
    <row r="127" spans="1:35" ht="16.5">
      <c r="A127" s="257"/>
      <c r="B127" s="257"/>
      <c r="C127" s="332" t="s">
        <v>105</v>
      </c>
      <c r="D127" s="259">
        <f>SUM(G127:AF127)</f>
        <v>149.5040625</v>
      </c>
      <c r="E127" s="260">
        <f>SUM(G127:J127)</f>
        <v>0</v>
      </c>
      <c r="F127" s="261">
        <f>SUM(K127:AF127)</f>
        <v>149.5040625</v>
      </c>
      <c r="G127" s="225"/>
      <c r="H127" s="226"/>
      <c r="I127" s="226"/>
      <c r="J127" s="227"/>
      <c r="K127" s="262">
        <f aca="true" t="shared" si="32" ref="K127:AF127">K126+K119</f>
        <v>2.454545454545456</v>
      </c>
      <c r="L127" s="263">
        <f t="shared" si="32"/>
        <v>2.4545454545454524</v>
      </c>
      <c r="M127" s="263">
        <f t="shared" si="32"/>
        <v>2.454545454545456</v>
      </c>
      <c r="N127" s="263">
        <f t="shared" si="32"/>
        <v>2.4545454545454524</v>
      </c>
      <c r="O127" s="263">
        <f t="shared" si="32"/>
        <v>2.454545454545456</v>
      </c>
      <c r="P127" s="263">
        <f t="shared" si="32"/>
        <v>2.4545454545454524</v>
      </c>
      <c r="Q127" s="263">
        <f t="shared" si="32"/>
        <v>2.454545454545456</v>
      </c>
      <c r="R127" s="263">
        <f t="shared" si="32"/>
        <v>2.4545454545454524</v>
      </c>
      <c r="S127" s="263">
        <f t="shared" si="32"/>
        <v>2.454545454545456</v>
      </c>
      <c r="T127" s="263">
        <f t="shared" si="32"/>
        <v>2.4545454545454533</v>
      </c>
      <c r="U127" s="263">
        <f t="shared" si="32"/>
        <v>2.454545454545454</v>
      </c>
      <c r="V127" s="264">
        <f t="shared" si="32"/>
        <v>2.4545454545454555</v>
      </c>
      <c r="W127" s="263">
        <f t="shared" si="32"/>
        <v>12.004951704545455</v>
      </c>
      <c r="X127" s="263">
        <f t="shared" si="32"/>
        <v>12.004951704545453</v>
      </c>
      <c r="Y127" s="263">
        <f t="shared" si="32"/>
        <v>12.004951704545455</v>
      </c>
      <c r="Z127" s="263">
        <f t="shared" si="32"/>
        <v>12.004951704545457</v>
      </c>
      <c r="AA127" s="263">
        <f t="shared" si="32"/>
        <v>12.004951704545455</v>
      </c>
      <c r="AB127" s="263">
        <f t="shared" si="32"/>
        <v>12.004951704545453</v>
      </c>
      <c r="AC127" s="263">
        <f t="shared" si="32"/>
        <v>12.004951704545455</v>
      </c>
      <c r="AD127" s="263">
        <f t="shared" si="32"/>
        <v>12.004951704545457</v>
      </c>
      <c r="AE127" s="263">
        <f t="shared" si="32"/>
        <v>12.004951704545455</v>
      </c>
      <c r="AF127" s="264">
        <f t="shared" si="32"/>
        <v>12.004951704545459</v>
      </c>
      <c r="AG127" s="195"/>
      <c r="AH127" s="195"/>
      <c r="AI127" s="195"/>
    </row>
    <row r="128" spans="1:35" ht="17.25" thickBot="1">
      <c r="A128" s="315"/>
      <c r="B128" s="315"/>
      <c r="C128" s="333"/>
      <c r="D128" s="334"/>
      <c r="E128" s="335"/>
      <c r="F128" s="336"/>
      <c r="G128" s="201"/>
      <c r="H128" s="202"/>
      <c r="I128" s="202"/>
      <c r="J128" s="119"/>
      <c r="K128" s="194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6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6"/>
      <c r="AG128" s="195"/>
      <c r="AH128" s="195"/>
      <c r="AI128" s="195"/>
    </row>
    <row r="129" spans="1:35" ht="16.5">
      <c r="A129" s="177"/>
      <c r="B129" s="13"/>
      <c r="C129" s="337"/>
      <c r="D129" s="338"/>
      <c r="E129" s="339"/>
      <c r="F129" s="340"/>
      <c r="G129" s="210"/>
      <c r="H129" s="211"/>
      <c r="I129" s="211"/>
      <c r="J129" s="120"/>
      <c r="K129" s="341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3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3"/>
      <c r="AG129" s="195"/>
      <c r="AH129" s="195"/>
      <c r="AI129" s="195"/>
    </row>
    <row r="130" spans="1:34" s="353" customFormat="1" ht="14.25">
      <c r="A130" s="344"/>
      <c r="B130" s="345"/>
      <c r="C130" s="346" t="s">
        <v>106</v>
      </c>
      <c r="D130" s="328">
        <f>SUM(G130:AF130)</f>
        <v>119.50406250000002</v>
      </c>
      <c r="E130" s="329">
        <f>SUM(G130:J130)</f>
        <v>-30</v>
      </c>
      <c r="F130" s="330">
        <f>SUM(K130:AF130)</f>
        <v>149.5040625</v>
      </c>
      <c r="G130" s="347">
        <f>-G96</f>
        <v>0</v>
      </c>
      <c r="H130" s="348">
        <f>-H96</f>
        <v>0</v>
      </c>
      <c r="I130" s="348">
        <f>-I96</f>
        <v>-15</v>
      </c>
      <c r="J130" s="349">
        <f>-J96</f>
        <v>-15</v>
      </c>
      <c r="K130" s="350">
        <f aca="true" t="shared" si="33" ref="K130:AF130">K127</f>
        <v>2.454545454545456</v>
      </c>
      <c r="L130" s="351">
        <f t="shared" si="33"/>
        <v>2.4545454545454524</v>
      </c>
      <c r="M130" s="351">
        <f t="shared" si="33"/>
        <v>2.454545454545456</v>
      </c>
      <c r="N130" s="351">
        <f t="shared" si="33"/>
        <v>2.4545454545454524</v>
      </c>
      <c r="O130" s="351">
        <f t="shared" si="33"/>
        <v>2.454545454545456</v>
      </c>
      <c r="P130" s="351">
        <f t="shared" si="33"/>
        <v>2.4545454545454524</v>
      </c>
      <c r="Q130" s="351">
        <f t="shared" si="33"/>
        <v>2.454545454545456</v>
      </c>
      <c r="R130" s="351">
        <f t="shared" si="33"/>
        <v>2.4545454545454524</v>
      </c>
      <c r="S130" s="351">
        <f t="shared" si="33"/>
        <v>2.454545454545456</v>
      </c>
      <c r="T130" s="351">
        <f t="shared" si="33"/>
        <v>2.4545454545454533</v>
      </c>
      <c r="U130" s="351">
        <f t="shared" si="33"/>
        <v>2.454545454545454</v>
      </c>
      <c r="V130" s="352">
        <f t="shared" si="33"/>
        <v>2.4545454545454555</v>
      </c>
      <c r="W130" s="351">
        <f t="shared" si="33"/>
        <v>12.004951704545455</v>
      </c>
      <c r="X130" s="351">
        <f t="shared" si="33"/>
        <v>12.004951704545453</v>
      </c>
      <c r="Y130" s="351">
        <f t="shared" si="33"/>
        <v>12.004951704545455</v>
      </c>
      <c r="Z130" s="351">
        <f t="shared" si="33"/>
        <v>12.004951704545457</v>
      </c>
      <c r="AA130" s="351">
        <f t="shared" si="33"/>
        <v>12.004951704545455</v>
      </c>
      <c r="AB130" s="351">
        <f t="shared" si="33"/>
        <v>12.004951704545453</v>
      </c>
      <c r="AC130" s="351">
        <f t="shared" si="33"/>
        <v>12.004951704545455</v>
      </c>
      <c r="AD130" s="351">
        <f t="shared" si="33"/>
        <v>12.004951704545457</v>
      </c>
      <c r="AE130" s="351">
        <f t="shared" si="33"/>
        <v>12.004951704545455</v>
      </c>
      <c r="AF130" s="352">
        <f t="shared" si="33"/>
        <v>12.004951704545459</v>
      </c>
      <c r="AG130" s="351"/>
      <c r="AH130" s="351"/>
    </row>
    <row r="131" spans="1:34" s="28" customFormat="1" ht="14.25">
      <c r="A131" s="188"/>
      <c r="B131" s="39"/>
      <c r="C131" s="354"/>
      <c r="D131" s="355"/>
      <c r="E131" s="356"/>
      <c r="F131" s="357"/>
      <c r="G131" s="358"/>
      <c r="H131" s="74"/>
      <c r="I131" s="74"/>
      <c r="J131" s="359"/>
      <c r="K131" s="360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2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2"/>
      <c r="AG131" s="361"/>
      <c r="AH131" s="361"/>
    </row>
    <row r="132" spans="1:32" s="371" customFormat="1" ht="14.25">
      <c r="A132" s="363"/>
      <c r="B132" s="364"/>
      <c r="C132" s="365" t="s">
        <v>107</v>
      </c>
      <c r="D132" s="366">
        <f>AF132</f>
        <v>0.1224128834873462</v>
      </c>
      <c r="E132" s="367"/>
      <c r="F132" s="368"/>
      <c r="G132" s="369">
        <f>IF(SUM($G$130:G130)&gt;0,IRR($G$130:G130),0)</f>
        <v>0</v>
      </c>
      <c r="H132" s="369">
        <f>IF(SUM($G$130:H130)&gt;0,IRR($G$130:H130),0)</f>
        <v>0</v>
      </c>
      <c r="I132" s="369">
        <f>IF(SUM($G$130:I130)&gt;0,IRR($G$130:I130),0)</f>
        <v>0</v>
      </c>
      <c r="J132" s="369">
        <f>IF(SUM($G$130:J130)&gt;0,IRR($G$130:J130),0)</f>
        <v>0</v>
      </c>
      <c r="K132" s="369">
        <f>IF(SUM($G$130:K130)&gt;0,IRR($G$130:K130),0)</f>
        <v>0</v>
      </c>
      <c r="L132" s="369">
        <f>IF(SUM($G$130:L130)&gt;0,IRR($G$130:L130),0)</f>
        <v>0</v>
      </c>
      <c r="M132" s="369">
        <f>IF(SUM($G$130:M130)&gt;0,IRR($G$130:M130),0)</f>
        <v>0</v>
      </c>
      <c r="N132" s="369">
        <f>IF(SUM($G$130:N130)&gt;0,IRR($G$130:N130),0)</f>
        <v>0</v>
      </c>
      <c r="O132" s="369">
        <f>IF(SUM($G$130:O130)&gt;0,IRR($G$130:O130),0)</f>
        <v>0</v>
      </c>
      <c r="P132" s="369">
        <f>IF(SUM($G$130:P130)&gt;0,IRR($G$130:P130),0)</f>
        <v>0</v>
      </c>
      <c r="Q132" s="369">
        <f>IF(SUM($G$130:Q130)&gt;0,IRR($G$130:Q130),0)</f>
        <v>0</v>
      </c>
      <c r="R132" s="369">
        <f>IF(SUM($G$130:R130)&gt;0,IRR($G$130:R130),0)</f>
        <v>0</v>
      </c>
      <c r="S132" s="369">
        <f>IRR($G130:S130)</f>
        <v>-0.0525184471071666</v>
      </c>
      <c r="T132" s="369">
        <f>IRR($G130:T130)</f>
        <v>-0.03220166213309385</v>
      </c>
      <c r="U132" s="369">
        <f>IRR($G130:U130)</f>
        <v>-0.015889365066785323</v>
      </c>
      <c r="V132" s="370">
        <f>IRR($G130:V130)</f>
        <v>-0.002612186703684063</v>
      </c>
      <c r="W132" s="369">
        <f>IRR($G130:W130)</f>
        <v>0.03852810575474945</v>
      </c>
      <c r="X132" s="369">
        <f>IRR($G130:X130)</f>
        <v>0.06233883870997077</v>
      </c>
      <c r="Y132" s="369">
        <f>IRR($G130:Y130)</f>
        <v>0.0784677606991927</v>
      </c>
      <c r="Z132" s="369">
        <f>IRR($G130:Z130)</f>
        <v>0.09018901777037862</v>
      </c>
      <c r="AA132" s="369">
        <f>IRR($G130:AA130)</f>
        <v>0.0990633710517206</v>
      </c>
      <c r="AB132" s="369">
        <f>IRR($G130:AB130)</f>
        <v>0.10596787405182521</v>
      </c>
      <c r="AC132" s="369">
        <f>IRR($G130:AC130)</f>
        <v>0.11144629923423513</v>
      </c>
      <c r="AD132" s="369">
        <f>IRR($G130:AD130)</f>
        <v>0.11585857990316624</v>
      </c>
      <c r="AE132" s="369">
        <f>IRR($G130:AE130)</f>
        <v>0.11945434413087368</v>
      </c>
      <c r="AF132" s="370">
        <f>IRR($G130:AF130)</f>
        <v>0.1224128834873462</v>
      </c>
    </row>
    <row r="133" spans="1:32" s="371" customFormat="1" ht="14.25">
      <c r="A133" s="363"/>
      <c r="B133" s="364"/>
      <c r="C133" s="365"/>
      <c r="D133" s="372"/>
      <c r="E133" s="367"/>
      <c r="F133" s="368"/>
      <c r="G133" s="373"/>
      <c r="H133" s="369"/>
      <c r="I133" s="369"/>
      <c r="J133" s="370"/>
      <c r="K133" s="373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70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70"/>
    </row>
    <row r="134" spans="1:35" s="387" customFormat="1" ht="14.25">
      <c r="A134" s="374"/>
      <c r="B134" s="375"/>
      <c r="C134" s="376" t="s">
        <v>108</v>
      </c>
      <c r="D134" s="377">
        <f>AVERAGE(K134:V134)</f>
        <v>-1.1794846414580842</v>
      </c>
      <c r="E134" s="378"/>
      <c r="F134" s="379"/>
      <c r="G134" s="380"/>
      <c r="H134" s="381"/>
      <c r="I134" s="381"/>
      <c r="J134" s="382"/>
      <c r="K134" s="383">
        <f aca="true" t="shared" si="34" ref="K134:V134">K125/(K110+K111)</f>
        <v>-1.1285047667236907</v>
      </c>
      <c r="L134" s="384">
        <f t="shared" si="34"/>
        <v>-1.1346240413295807</v>
      </c>
      <c r="M134" s="384">
        <f t="shared" si="34"/>
        <v>-1.1413552433960596</v>
      </c>
      <c r="N134" s="384">
        <f t="shared" si="34"/>
        <v>-1.148794993048484</v>
      </c>
      <c r="O134" s="384">
        <f t="shared" si="34"/>
        <v>-1.1570613815511774</v>
      </c>
      <c r="P134" s="384">
        <f t="shared" si="34"/>
        <v>-1.1663002863483056</v>
      </c>
      <c r="Q134" s="384">
        <f t="shared" si="34"/>
        <v>-1.1766940542450748</v>
      </c>
      <c r="R134" s="384">
        <f t="shared" si="34"/>
        <v>-1.1884736578614128</v>
      </c>
      <c r="S134" s="384">
        <f t="shared" si="34"/>
        <v>-1.201936061994371</v>
      </c>
      <c r="T134" s="384">
        <f t="shared" si="34"/>
        <v>-1.217469605224707</v>
      </c>
      <c r="U134" s="384">
        <f t="shared" si="34"/>
        <v>-1.2355920723267662</v>
      </c>
      <c r="V134" s="385">
        <f t="shared" si="34"/>
        <v>-1.2570095334473814</v>
      </c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5"/>
      <c r="AG134" s="386"/>
      <c r="AH134" s="386"/>
      <c r="AI134" s="386"/>
    </row>
    <row r="135" spans="1:32" s="28" customFormat="1" ht="15" thickBot="1">
      <c r="A135" s="222"/>
      <c r="B135" s="388"/>
      <c r="C135" s="389" t="s">
        <v>109</v>
      </c>
      <c r="D135" s="390">
        <f>MIN(W135:AF135)</f>
        <v>13</v>
      </c>
      <c r="E135" s="391"/>
      <c r="F135" s="392"/>
      <c r="G135" s="393"/>
      <c r="H135" s="394"/>
      <c r="I135" s="394"/>
      <c r="J135" s="395"/>
      <c r="K135" s="393"/>
      <c r="L135" s="394"/>
      <c r="M135" s="394"/>
      <c r="N135" s="394"/>
      <c r="O135" s="394"/>
      <c r="P135" s="394"/>
      <c r="Q135" s="394">
        <f aca="true" t="shared" si="35" ref="Q135:AF135">IF(Q132&gt;0,Q80,)</f>
        <v>0</v>
      </c>
      <c r="R135" s="394">
        <f t="shared" si="35"/>
        <v>0</v>
      </c>
      <c r="S135" s="394">
        <f t="shared" si="35"/>
        <v>0</v>
      </c>
      <c r="T135" s="394">
        <f t="shared" si="35"/>
        <v>0</v>
      </c>
      <c r="U135" s="394">
        <f t="shared" si="35"/>
        <v>0</v>
      </c>
      <c r="V135" s="395">
        <f t="shared" si="35"/>
        <v>0</v>
      </c>
      <c r="W135" s="394">
        <f t="shared" si="35"/>
        <v>13</v>
      </c>
      <c r="X135" s="394">
        <f t="shared" si="35"/>
        <v>14</v>
      </c>
      <c r="Y135" s="394">
        <f t="shared" si="35"/>
        <v>15</v>
      </c>
      <c r="Z135" s="394">
        <f t="shared" si="35"/>
        <v>16</v>
      </c>
      <c r="AA135" s="394">
        <f t="shared" si="35"/>
        <v>17</v>
      </c>
      <c r="AB135" s="394">
        <f t="shared" si="35"/>
        <v>18</v>
      </c>
      <c r="AC135" s="394">
        <f t="shared" si="35"/>
        <v>19</v>
      </c>
      <c r="AD135" s="394">
        <f t="shared" si="35"/>
        <v>20</v>
      </c>
      <c r="AE135" s="394">
        <f t="shared" si="35"/>
        <v>21</v>
      </c>
      <c r="AF135" s="395">
        <f t="shared" si="35"/>
        <v>22</v>
      </c>
    </row>
    <row r="136" spans="1:33" ht="16.5">
      <c r="A136" s="396"/>
      <c r="B136" s="396"/>
      <c r="C136" s="9" t="s">
        <v>35</v>
      </c>
      <c r="D136" s="397" t="s">
        <v>35</v>
      </c>
      <c r="E136" s="195"/>
      <c r="F136" s="195"/>
      <c r="G136" s="195"/>
      <c r="H136" s="195"/>
      <c r="Q136" s="11" t="s">
        <v>35</v>
      </c>
      <c r="R136" s="11" t="s">
        <v>35</v>
      </c>
      <c r="S136" s="11" t="s">
        <v>35</v>
      </c>
      <c r="T136" s="11" t="s">
        <v>35</v>
      </c>
      <c r="U136" s="11" t="s">
        <v>35</v>
      </c>
      <c r="V136" s="11" t="s">
        <v>35</v>
      </c>
      <c r="W136" s="11" t="s">
        <v>35</v>
      </c>
      <c r="X136" s="11" t="s">
        <v>35</v>
      </c>
      <c r="Y136" s="11" t="s">
        <v>35</v>
      </c>
      <c r="Z136" s="11" t="s">
        <v>35</v>
      </c>
      <c r="AA136" s="11" t="s">
        <v>35</v>
      </c>
      <c r="AB136" s="11" t="s">
        <v>35</v>
      </c>
      <c r="AC136" s="11" t="s">
        <v>35</v>
      </c>
      <c r="AD136" s="11" t="s">
        <v>35</v>
      </c>
      <c r="AE136" s="11" t="s">
        <v>35</v>
      </c>
      <c r="AF136" s="11" t="s">
        <v>35</v>
      </c>
      <c r="AG136" s="11" t="s">
        <v>35</v>
      </c>
    </row>
    <row r="137" spans="1:8" ht="16.5">
      <c r="A137" s="396"/>
      <c r="B137" s="396"/>
      <c r="D137" s="397"/>
      <c r="E137" s="195"/>
      <c r="F137" s="195"/>
      <c r="G137" s="195"/>
      <c r="H137" s="195"/>
    </row>
    <row r="138" spans="1:8" ht="16.5">
      <c r="A138" s="396"/>
      <c r="B138" s="396"/>
      <c r="D138" s="397"/>
      <c r="E138" s="195"/>
      <c r="F138" s="195"/>
      <c r="G138" s="195"/>
      <c r="H138" s="195"/>
    </row>
    <row r="139" spans="1:8" s="28" customFormat="1" ht="14.25">
      <c r="A139" s="398"/>
      <c r="B139" s="398"/>
      <c r="C139" s="29"/>
      <c r="D139" s="397"/>
      <c r="E139" s="361"/>
      <c r="F139" s="361"/>
      <c r="G139" s="361"/>
      <c r="H139" s="361"/>
    </row>
    <row r="140" spans="1:4" s="29" customFormat="1" ht="14.25">
      <c r="A140" s="399"/>
      <c r="B140" s="399"/>
      <c r="D140" s="397"/>
    </row>
    <row r="141" spans="1:4" ht="16.5">
      <c r="A141" s="398"/>
      <c r="B141" s="398"/>
      <c r="D141" s="195"/>
    </row>
    <row r="142" spans="1:4" ht="16.5">
      <c r="A142" s="396"/>
      <c r="B142" s="396"/>
      <c r="D142" s="195"/>
    </row>
    <row r="143" spans="1:4" ht="16.5">
      <c r="A143" s="396"/>
      <c r="B143" s="396"/>
      <c r="D143" s="195"/>
    </row>
    <row r="144" spans="1:4" ht="16.5">
      <c r="A144" s="398"/>
      <c r="B144" s="398"/>
      <c r="D144" s="195"/>
    </row>
    <row r="145" spans="1:4" ht="16.5">
      <c r="A145" s="396"/>
      <c r="B145" s="396"/>
      <c r="D145" s="195"/>
    </row>
    <row r="146" spans="1:4" ht="16.5">
      <c r="A146" s="396"/>
      <c r="B146" s="396"/>
      <c r="D146" s="195"/>
    </row>
    <row r="147" spans="1:4" ht="16.5">
      <c r="A147" s="398"/>
      <c r="B147" s="398"/>
      <c r="D147" s="195"/>
    </row>
    <row r="148" spans="1:4" ht="16.5">
      <c r="A148" s="396"/>
      <c r="B148" s="396"/>
      <c r="D148" s="195"/>
    </row>
    <row r="149" spans="1:4" ht="16.5">
      <c r="A149" s="396"/>
      <c r="B149" s="396"/>
      <c r="D149" s="195"/>
    </row>
    <row r="150" spans="1:4" s="28" customFormat="1" ht="14.25">
      <c r="A150" s="398"/>
      <c r="B150" s="398"/>
      <c r="C150" s="29"/>
      <c r="D150" s="397"/>
    </row>
    <row r="151" spans="1:2" ht="16.5">
      <c r="A151" s="396"/>
      <c r="B151" s="396"/>
    </row>
    <row r="152" spans="1:2" ht="16.5">
      <c r="A152" s="396"/>
      <c r="B152" s="396"/>
    </row>
    <row r="153" spans="1:2" ht="16.5">
      <c r="A153" s="396"/>
      <c r="B153" s="396"/>
    </row>
    <row r="154" spans="1:2" ht="16.5">
      <c r="A154" s="396"/>
      <c r="B154" s="396"/>
    </row>
    <row r="155" spans="1:2" ht="16.5">
      <c r="A155" s="396"/>
      <c r="B155" s="396"/>
    </row>
    <row r="156" spans="1:4" s="28" customFormat="1" ht="14.25">
      <c r="A156" s="39"/>
      <c r="B156" s="39"/>
      <c r="C156" s="29"/>
      <c r="D156" s="39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Najjar</dc:creator>
  <cp:keywords/>
  <dc:description/>
  <cp:lastModifiedBy>Barbara</cp:lastModifiedBy>
  <cp:lastPrinted>2013-06-22T10:59:12Z</cp:lastPrinted>
  <dcterms:created xsi:type="dcterms:W3CDTF">2011-12-18T20:51:04Z</dcterms:created>
  <dcterms:modified xsi:type="dcterms:W3CDTF">2013-07-18T09:42:05Z</dcterms:modified>
  <cp:category/>
  <cp:version/>
  <cp:contentType/>
  <cp:contentStatus/>
</cp:coreProperties>
</file>